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5075" windowHeight="6255" activeTab="6"/>
  </bookViews>
  <sheets>
    <sheet name="例題１１" sheetId="8" r:id="rId1"/>
    <sheet name="例題１２" sheetId="7" r:id="rId2"/>
    <sheet name="例題１３" sheetId="1" r:id="rId3"/>
    <sheet name="例題１４" sheetId="2" r:id="rId4"/>
    <sheet name="例題１５" sheetId="3" r:id="rId5"/>
    <sheet name="例題１６" sheetId="5" r:id="rId6"/>
    <sheet name="実習１６" sheetId="6" r:id="rId7"/>
  </sheets>
  <calcPr calcId="125725"/>
</workbook>
</file>

<file path=xl/calcChain.xml><?xml version="1.0" encoding="utf-8"?>
<calcChain xmlns="http://schemas.openxmlformats.org/spreadsheetml/2006/main">
  <c r="B12" i="8"/>
  <c r="G9"/>
  <c r="F9"/>
  <c r="E9"/>
  <c r="D9"/>
  <c r="C9"/>
  <c r="H8"/>
  <c r="I8" s="1"/>
  <c r="I7"/>
  <c r="H7"/>
  <c r="H6"/>
  <c r="I6" s="1"/>
  <c r="I5"/>
  <c r="H5"/>
  <c r="H4"/>
  <c r="I4" s="1"/>
  <c r="I9" l="1"/>
  <c r="B13"/>
  <c r="B14"/>
  <c r="B15"/>
  <c r="H9"/>
  <c r="G14" i="7"/>
  <c r="F14"/>
  <c r="C14"/>
  <c r="B14"/>
  <c r="I13"/>
  <c r="G13"/>
  <c r="D13"/>
  <c r="E13" s="1"/>
  <c r="C13"/>
  <c r="G12"/>
  <c r="H12" s="1"/>
  <c r="E12"/>
  <c r="D12"/>
  <c r="C12"/>
  <c r="I11"/>
  <c r="G11"/>
  <c r="D11"/>
  <c r="E11" s="1"/>
  <c r="C11"/>
  <c r="G10"/>
  <c r="H10" s="1"/>
  <c r="E10"/>
  <c r="D10"/>
  <c r="C10"/>
  <c r="I9"/>
  <c r="G9"/>
  <c r="D9"/>
  <c r="E9" s="1"/>
  <c r="C9"/>
  <c r="G8"/>
  <c r="H8" s="1"/>
  <c r="E8"/>
  <c r="D8"/>
  <c r="C8"/>
  <c r="I7"/>
  <c r="G7"/>
  <c r="D7"/>
  <c r="E7" s="1"/>
  <c r="C7"/>
  <c r="G6"/>
  <c r="H6" s="1"/>
  <c r="E6"/>
  <c r="D6"/>
  <c r="C6"/>
  <c r="I5"/>
  <c r="G5"/>
  <c r="D5"/>
  <c r="E5" s="1"/>
  <c r="C5"/>
  <c r="G4"/>
  <c r="H4" s="1"/>
  <c r="E4"/>
  <c r="D4"/>
  <c r="C4"/>
  <c r="H5" l="1"/>
  <c r="H7"/>
  <c r="H11"/>
  <c r="D14"/>
  <c r="E14" s="1"/>
  <c r="I4"/>
  <c r="I6"/>
  <c r="I8"/>
  <c r="I10"/>
  <c r="I12"/>
  <c r="H9"/>
  <c r="H13"/>
  <c r="E25" i="6"/>
  <c r="D25"/>
  <c r="C25"/>
  <c r="E24"/>
  <c r="D24"/>
  <c r="C24"/>
  <c r="E23"/>
  <c r="D23"/>
  <c r="C23"/>
  <c r="E21"/>
  <c r="D21"/>
  <c r="C21"/>
  <c r="F20"/>
  <c r="F19"/>
  <c r="F18"/>
  <c r="F17"/>
  <c r="F21" s="1"/>
  <c r="F22" s="1"/>
  <c r="E15"/>
  <c r="E16" s="1"/>
  <c r="D15"/>
  <c r="D16" s="1"/>
  <c r="C15"/>
  <c r="F14"/>
  <c r="F13"/>
  <c r="F12"/>
  <c r="F11"/>
  <c r="F15" s="1"/>
  <c r="F16" s="1"/>
  <c r="E9"/>
  <c r="D9"/>
  <c r="C9"/>
  <c r="F8"/>
  <c r="F7"/>
  <c r="F6"/>
  <c r="F5"/>
  <c r="F25" s="1"/>
  <c r="G11" i="3"/>
  <c r="F11"/>
  <c r="E11"/>
  <c r="D11"/>
  <c r="C11"/>
  <c r="B11"/>
  <c r="G10"/>
  <c r="F10"/>
  <c r="E10"/>
  <c r="D10"/>
  <c r="C10"/>
  <c r="B10"/>
  <c r="D9"/>
  <c r="C9"/>
  <c r="E9" s="1"/>
  <c r="B9"/>
  <c r="E8"/>
  <c r="F8" s="1"/>
  <c r="D8"/>
  <c r="C8"/>
  <c r="B8"/>
  <c r="D7"/>
  <c r="C7"/>
  <c r="E7" s="1"/>
  <c r="B7"/>
  <c r="G14" i="5"/>
  <c r="D14"/>
  <c r="C14"/>
  <c r="G13"/>
  <c r="C13"/>
  <c r="D13" s="1"/>
  <c r="G12"/>
  <c r="D12"/>
  <c r="C12"/>
  <c r="G11"/>
  <c r="D11"/>
  <c r="C11"/>
  <c r="G10"/>
  <c r="D10"/>
  <c r="C10"/>
  <c r="G9"/>
  <c r="C9"/>
  <c r="D9" s="1"/>
  <c r="G8"/>
  <c r="D8"/>
  <c r="C8"/>
  <c r="G7"/>
  <c r="D7"/>
  <c r="C7"/>
  <c r="A3"/>
  <c r="E2"/>
  <c r="A4" s="1"/>
  <c r="D10" i="6" l="1"/>
  <c r="C10"/>
  <c r="E22"/>
  <c r="C16"/>
  <c r="D22"/>
  <c r="C22"/>
  <c r="F9"/>
  <c r="F10" s="1"/>
  <c r="F23"/>
  <c r="F24"/>
  <c r="F7" i="3"/>
  <c r="G7" s="1"/>
  <c r="B3" s="1"/>
  <c r="F9"/>
  <c r="G9" s="1"/>
  <c r="G8"/>
  <c r="E9" i="5"/>
  <c r="F9" s="1"/>
  <c r="E7"/>
  <c r="F7" s="1"/>
  <c r="E10"/>
  <c r="F10" s="1"/>
  <c r="E14"/>
  <c r="F14" s="1"/>
  <c r="E13"/>
  <c r="F13" s="1"/>
  <c r="E8"/>
  <c r="F8" s="1"/>
  <c r="E12"/>
  <c r="F12" s="1"/>
  <c r="E11"/>
  <c r="F11" s="1"/>
  <c r="E10" i="6" l="1"/>
  <c r="B3" i="2"/>
  <c r="G8"/>
  <c r="G9"/>
  <c r="G10"/>
  <c r="G11"/>
  <c r="G7"/>
  <c r="F8"/>
  <c r="F9"/>
  <c r="F10"/>
  <c r="F11"/>
  <c r="F7"/>
  <c r="E8"/>
  <c r="E9"/>
  <c r="E10"/>
  <c r="E11"/>
  <c r="E7"/>
  <c r="O6" i="1"/>
  <c r="O5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9"/>
  <c r="D8" i="2"/>
  <c r="D9"/>
  <c r="D10"/>
  <c r="D11"/>
  <c r="D7"/>
  <c r="C8"/>
  <c r="C9"/>
  <c r="C10"/>
  <c r="C11"/>
  <c r="C7"/>
  <c r="B8"/>
  <c r="B9"/>
  <c r="B10"/>
  <c r="B11"/>
  <c r="B7"/>
  <c r="P6" i="1"/>
  <c r="P5"/>
  <c r="N6"/>
  <c r="N5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9"/>
  <c r="M6"/>
  <c r="M5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9"/>
</calcChain>
</file>

<file path=xl/sharedStrings.xml><?xml version="1.0" encoding="utf-8"?>
<sst xmlns="http://schemas.openxmlformats.org/spreadsheetml/2006/main" count="283" uniqueCount="182">
  <si>
    <t>リーグ戦打撃成績上位一覧表</t>
    <rPh sb="3" eb="4">
      <t>セン</t>
    </rPh>
    <rPh sb="8" eb="10">
      <t>ジョウイ</t>
    </rPh>
    <rPh sb="10" eb="12">
      <t>イチラン</t>
    </rPh>
    <rPh sb="12" eb="13">
      <t>ヒョウ</t>
    </rPh>
    <phoneticPr fontId="1"/>
  </si>
  <si>
    <t>≪計算式≫</t>
    <rPh sb="1" eb="3">
      <t>ケイサン</t>
    </rPh>
    <rPh sb="3" eb="4">
      <t>シキ</t>
    </rPh>
    <phoneticPr fontId="1"/>
  </si>
  <si>
    <t>≪チーム比較≫</t>
    <rPh sb="4" eb="6">
      <t>ヒカク</t>
    </rPh>
    <phoneticPr fontId="1"/>
  </si>
  <si>
    <t>打率 =安打/打数</t>
    <phoneticPr fontId="1"/>
  </si>
  <si>
    <t>所属チーム</t>
    <rPh sb="0" eb="2">
      <t>ショゾク</t>
    </rPh>
    <phoneticPr fontId="1"/>
  </si>
  <si>
    <t>人数</t>
    <rPh sb="0" eb="2">
      <t>ニンズウ</t>
    </rPh>
    <phoneticPr fontId="1"/>
  </si>
  <si>
    <t>得点合計</t>
    <rPh sb="0" eb="2">
      <t>トクテン</t>
    </rPh>
    <rPh sb="2" eb="4">
      <t>ゴウケイ</t>
    </rPh>
    <phoneticPr fontId="1"/>
  </si>
  <si>
    <t>塁打数合計</t>
    <rPh sb="0" eb="1">
      <t>ルイ</t>
    </rPh>
    <rPh sb="1" eb="3">
      <t>ダスウ</t>
    </rPh>
    <rPh sb="3" eb="5">
      <t>ゴウケイ</t>
    </rPh>
    <phoneticPr fontId="1"/>
  </si>
  <si>
    <t>打率平均</t>
    <rPh sb="0" eb="2">
      <t>ダリツ</t>
    </rPh>
    <rPh sb="2" eb="4">
      <t>ヘイキン</t>
    </rPh>
    <phoneticPr fontId="1"/>
  </si>
  <si>
    <t>出塁率 =(安打+四球+死球)÷(打数+四球+死球+犠飛)</t>
    <phoneticPr fontId="1"/>
  </si>
  <si>
    <t>塁打数 =安打×1+二塁打×1+三塁打×2+本塁打×3</t>
    <phoneticPr fontId="1"/>
  </si>
  <si>
    <t>オイランズ</t>
    <phoneticPr fontId="1"/>
  </si>
  <si>
    <t>長打率 =塁打数/打数</t>
    <phoneticPr fontId="1"/>
  </si>
  <si>
    <t>バロファーズ</t>
    <phoneticPr fontId="1"/>
  </si>
  <si>
    <t>順位</t>
  </si>
  <si>
    <t>選手名</t>
    <rPh sb="0" eb="3">
      <t>センシュメイ</t>
    </rPh>
    <phoneticPr fontId="1"/>
  </si>
  <si>
    <t>打率</t>
  </si>
  <si>
    <t>打席数</t>
  </si>
  <si>
    <t>打数</t>
  </si>
  <si>
    <t>得点</t>
  </si>
  <si>
    <t>安打</t>
  </si>
  <si>
    <t>二塁打</t>
  </si>
  <si>
    <t>三塁打</t>
  </si>
  <si>
    <t>本塁打</t>
  </si>
  <si>
    <t>塁打数</t>
  </si>
  <si>
    <t>打点</t>
  </si>
  <si>
    <t>四球</t>
  </si>
  <si>
    <t>死球</t>
  </si>
  <si>
    <t>犠飛</t>
  </si>
  <si>
    <t>出塁率</t>
  </si>
  <si>
    <t>長打率</t>
  </si>
  <si>
    <t>ＱＱ佐東</t>
    <rPh sb="2" eb="4">
      <t>サトウ</t>
    </rPh>
    <phoneticPr fontId="1"/>
  </si>
  <si>
    <t>稲根</t>
    <rPh sb="0" eb="1">
      <t>イネ</t>
    </rPh>
    <rPh sb="1" eb="2">
      <t>ネ</t>
    </rPh>
    <phoneticPr fontId="1"/>
  </si>
  <si>
    <t>イタファーズ</t>
    <phoneticPr fontId="1"/>
  </si>
  <si>
    <t>井間江</t>
    <rPh sb="0" eb="2">
      <t>イマ</t>
    </rPh>
    <rPh sb="2" eb="3">
      <t>エ</t>
    </rPh>
    <phoneticPr fontId="1"/>
  </si>
  <si>
    <t>リーマンズ</t>
  </si>
  <si>
    <t>大久保</t>
    <rPh sb="0" eb="3">
      <t>オオクボ</t>
    </rPh>
    <phoneticPr fontId="1"/>
  </si>
  <si>
    <t>クホース</t>
  </si>
  <si>
    <t>潟岡</t>
    <rPh sb="0" eb="1">
      <t>カタ</t>
    </rPh>
    <rPh sb="1" eb="2">
      <t>オカ</t>
    </rPh>
    <phoneticPr fontId="1"/>
  </si>
  <si>
    <t>河崎</t>
    <rPh sb="0" eb="2">
      <t>カワサキ</t>
    </rPh>
    <phoneticPr fontId="1"/>
  </si>
  <si>
    <t>小松</t>
    <rPh sb="0" eb="2">
      <t>コマツ</t>
    </rPh>
    <phoneticPr fontId="1"/>
  </si>
  <si>
    <t>阪口</t>
    <rPh sb="0" eb="1">
      <t>サカ</t>
    </rPh>
    <rPh sb="1" eb="2">
      <t>クチ</t>
    </rPh>
    <phoneticPr fontId="1"/>
  </si>
  <si>
    <t>バロファーズ</t>
  </si>
  <si>
    <t>ズーロ</t>
    <phoneticPr fontId="1"/>
  </si>
  <si>
    <t>ゼラブル</t>
    <phoneticPr fontId="1"/>
  </si>
  <si>
    <t>ソック</t>
    <phoneticPr fontId="1"/>
  </si>
  <si>
    <t>グーイルス</t>
    <phoneticPr fontId="1"/>
  </si>
  <si>
    <t>鷹洲</t>
    <rPh sb="0" eb="1">
      <t>タカ</t>
    </rPh>
    <rPh sb="1" eb="2">
      <t>ス</t>
    </rPh>
    <phoneticPr fontId="1"/>
  </si>
  <si>
    <t>田仲</t>
    <rPh sb="0" eb="2">
      <t>タナカ</t>
    </rPh>
    <phoneticPr fontId="1"/>
  </si>
  <si>
    <t>轍平</t>
    <rPh sb="0" eb="1">
      <t>テツ</t>
    </rPh>
    <rPh sb="1" eb="2">
      <t>ヘイ</t>
    </rPh>
    <phoneticPr fontId="1"/>
  </si>
  <si>
    <t>仲嶋</t>
    <rPh sb="0" eb="2">
      <t>ナカジマ</t>
    </rPh>
    <phoneticPr fontId="1"/>
  </si>
  <si>
    <t>中邑</t>
    <rPh sb="0" eb="2">
      <t>ナカムラ</t>
    </rPh>
    <phoneticPr fontId="1"/>
  </si>
  <si>
    <t>ナンデフェルス</t>
    <phoneticPr fontId="1"/>
  </si>
  <si>
    <t>西丘</t>
    <rPh sb="0" eb="1">
      <t>ニシ</t>
    </rPh>
    <rPh sb="1" eb="2">
      <t>オカ</t>
    </rPh>
    <phoneticPr fontId="1"/>
  </si>
  <si>
    <t>飛田果</t>
    <rPh sb="0" eb="2">
      <t>ヒダ</t>
    </rPh>
    <rPh sb="2" eb="3">
      <t>カ</t>
    </rPh>
    <phoneticPr fontId="1"/>
  </si>
  <si>
    <t>太川</t>
    <rPh sb="0" eb="1">
      <t>フト</t>
    </rPh>
    <rPh sb="1" eb="2">
      <t>カワ</t>
    </rPh>
    <phoneticPr fontId="1"/>
  </si>
  <si>
    <t>本田</t>
    <rPh sb="0" eb="2">
      <t>ホンダ</t>
    </rPh>
    <phoneticPr fontId="1"/>
  </si>
  <si>
    <t>松畑</t>
    <rPh sb="0" eb="1">
      <t>マツ</t>
    </rPh>
    <rPh sb="1" eb="2">
      <t>ハタ</t>
    </rPh>
    <phoneticPr fontId="1"/>
  </si>
  <si>
    <t>松前</t>
    <rPh sb="0" eb="1">
      <t>マツ</t>
    </rPh>
    <rPh sb="1" eb="2">
      <t>マエ</t>
    </rPh>
    <phoneticPr fontId="1"/>
  </si>
  <si>
    <t>守本</t>
    <rPh sb="0" eb="2">
      <t>モリモト</t>
    </rPh>
    <phoneticPr fontId="1"/>
  </si>
  <si>
    <t>山咲武</t>
    <rPh sb="0" eb="2">
      <t>ヤマザキ</t>
    </rPh>
    <rPh sb="2" eb="3">
      <t>タケ</t>
    </rPh>
    <phoneticPr fontId="1"/>
  </si>
  <si>
    <t>陸山</t>
    <rPh sb="0" eb="1">
      <t>リク</t>
    </rPh>
    <rPh sb="1" eb="2">
      <t>ヤマ</t>
    </rPh>
    <phoneticPr fontId="1"/>
  </si>
  <si>
    <t>レブカラ</t>
    <phoneticPr fontId="1"/>
  </si>
  <si>
    <t>渡部直</t>
    <rPh sb="0" eb="2">
      <t>ワタナベ</t>
    </rPh>
    <rPh sb="2" eb="3">
      <t>ナオ</t>
    </rPh>
    <phoneticPr fontId="1"/>
  </si>
  <si>
    <t>新生活応援★生活家電セット価格表</t>
    <rPh sb="0" eb="3">
      <t>シンセイカツ</t>
    </rPh>
    <rPh sb="3" eb="5">
      <t>オウエン</t>
    </rPh>
    <rPh sb="6" eb="8">
      <t>セイカツ</t>
    </rPh>
    <rPh sb="8" eb="10">
      <t>カデン</t>
    </rPh>
    <rPh sb="13" eb="15">
      <t>カカク</t>
    </rPh>
    <rPh sb="15" eb="16">
      <t>ヒョウ</t>
    </rPh>
    <phoneticPr fontId="1"/>
  </si>
  <si>
    <t>合計</t>
    <rPh sb="0" eb="2">
      <t>ゴウケイ</t>
    </rPh>
    <phoneticPr fontId="1"/>
  </si>
  <si>
    <t>税率</t>
    <rPh sb="0" eb="2">
      <t>ゼイリツ</t>
    </rPh>
    <phoneticPr fontId="1"/>
  </si>
  <si>
    <t>＜セット明細＞</t>
    <rPh sb="4" eb="6">
      <t>メイサイ</t>
    </rPh>
    <phoneticPr fontId="1"/>
  </si>
  <si>
    <t>＜商品一覧＞</t>
    <rPh sb="1" eb="3">
      <t>ショウヒン</t>
    </rPh>
    <rPh sb="3" eb="5">
      <t>イチラン</t>
    </rPh>
    <phoneticPr fontId="1"/>
  </si>
  <si>
    <t>コード</t>
    <phoneticPr fontId="1"/>
  </si>
  <si>
    <t>商品名</t>
    <rPh sb="0" eb="3">
      <t>ショウヒンメイ</t>
    </rPh>
    <phoneticPr fontId="1"/>
  </si>
  <si>
    <t>本体価格</t>
    <rPh sb="0" eb="2">
      <t>ホンタイ</t>
    </rPh>
    <rPh sb="2" eb="4">
      <t>カカク</t>
    </rPh>
    <phoneticPr fontId="1"/>
  </si>
  <si>
    <t>割引率</t>
    <rPh sb="0" eb="2">
      <t>ワリビキ</t>
    </rPh>
    <rPh sb="2" eb="3">
      <t>リツ</t>
    </rPh>
    <phoneticPr fontId="1"/>
  </si>
  <si>
    <t>割引価格</t>
    <rPh sb="0" eb="2">
      <t>ワリビキ</t>
    </rPh>
    <rPh sb="2" eb="4">
      <t>カカク</t>
    </rPh>
    <phoneticPr fontId="1"/>
  </si>
  <si>
    <t>税額</t>
    <rPh sb="0" eb="2">
      <t>ゼイガク</t>
    </rPh>
    <phoneticPr fontId="1"/>
  </si>
  <si>
    <t>販売価格</t>
    <rPh sb="0" eb="2">
      <t>ハンバイ</t>
    </rPh>
    <rPh sb="2" eb="4">
      <t>カカク</t>
    </rPh>
    <phoneticPr fontId="1"/>
  </si>
  <si>
    <t>PT42V</t>
    <phoneticPr fontId="1"/>
  </si>
  <si>
    <t>LC37G</t>
    <phoneticPr fontId="1"/>
  </si>
  <si>
    <t>液晶テレビ</t>
    <rPh sb="0" eb="2">
      <t>エキショウ</t>
    </rPh>
    <phoneticPr fontId="1"/>
  </si>
  <si>
    <t>MO16W</t>
    <phoneticPr fontId="1"/>
  </si>
  <si>
    <t>LC37V</t>
    <phoneticPr fontId="1"/>
  </si>
  <si>
    <t>PC015</t>
    <phoneticPr fontId="1"/>
  </si>
  <si>
    <t>MO16B</t>
    <phoneticPr fontId="1"/>
  </si>
  <si>
    <t>オーブンレンジ</t>
    <phoneticPr fontId="1"/>
  </si>
  <si>
    <t>RE230</t>
    <phoneticPr fontId="1"/>
  </si>
  <si>
    <t>WM45K</t>
    <phoneticPr fontId="1"/>
  </si>
  <si>
    <t>PC014</t>
    <phoneticPr fontId="1"/>
  </si>
  <si>
    <t>ノートパソコン</t>
    <phoneticPr fontId="1"/>
  </si>
  <si>
    <t>PT37V</t>
    <phoneticPr fontId="1"/>
  </si>
  <si>
    <t>プラズマテレビ</t>
    <phoneticPr fontId="1"/>
  </si>
  <si>
    <t>RE168</t>
    <phoneticPr fontId="1"/>
  </si>
  <si>
    <t>冷蔵庫</t>
    <rPh sb="0" eb="3">
      <t>レイゾウコ</t>
    </rPh>
    <phoneticPr fontId="1"/>
  </si>
  <si>
    <t>WM42S</t>
    <phoneticPr fontId="1"/>
  </si>
  <si>
    <t>全自動洗濯機</t>
    <rPh sb="0" eb="3">
      <t>ゼンジドウ</t>
    </rPh>
    <rPh sb="3" eb="6">
      <t>センタクキ</t>
    </rPh>
    <phoneticPr fontId="1"/>
  </si>
  <si>
    <t>WM42W</t>
    <phoneticPr fontId="1"/>
  </si>
  <si>
    <t>乾燥機能付洗濯機</t>
    <rPh sb="0" eb="2">
      <t>カンソウ</t>
    </rPh>
    <rPh sb="2" eb="4">
      <t>キノウ</t>
    </rPh>
    <rPh sb="4" eb="5">
      <t>ツ</t>
    </rPh>
    <rPh sb="5" eb="8">
      <t>センタクキ</t>
    </rPh>
    <phoneticPr fontId="1"/>
  </si>
  <si>
    <t>WM50B</t>
    <phoneticPr fontId="1"/>
  </si>
  <si>
    <t>ツアー予約受付表</t>
    <rPh sb="3" eb="5">
      <t>ヨヤク</t>
    </rPh>
    <rPh sb="5" eb="7">
      <t>ウケツケ</t>
    </rPh>
    <rPh sb="7" eb="8">
      <t>ヒョウ</t>
    </rPh>
    <phoneticPr fontId="1"/>
  </si>
  <si>
    <t>作成日</t>
    <rPh sb="0" eb="3">
      <t>サクセイビ</t>
    </rPh>
    <phoneticPr fontId="1"/>
  </si>
  <si>
    <t>年</t>
    <rPh sb="0" eb="1">
      <t>ネン</t>
    </rPh>
    <phoneticPr fontId="1"/>
  </si>
  <si>
    <t>月出発分</t>
    <rPh sb="0" eb="1">
      <t>ガツ</t>
    </rPh>
    <rPh sb="1" eb="3">
      <t>シュッパツ</t>
    </rPh>
    <rPh sb="3" eb="4">
      <t>ブン</t>
    </rPh>
    <phoneticPr fontId="1"/>
  </si>
  <si>
    <t>受付番号</t>
    <rPh sb="0" eb="2">
      <t>ウケツケ</t>
    </rPh>
    <rPh sb="2" eb="4">
      <t>バンゴウ</t>
    </rPh>
    <phoneticPr fontId="1"/>
  </si>
  <si>
    <t>予約番号</t>
    <rPh sb="0" eb="2">
      <t>ヨヤク</t>
    </rPh>
    <rPh sb="2" eb="4">
      <t>バンゴウ</t>
    </rPh>
    <phoneticPr fontId="1"/>
  </si>
  <si>
    <t>ﾂｱｰｺｰﾄﾞ</t>
    <phoneticPr fontId="1"/>
  </si>
  <si>
    <t>ツアー先</t>
    <rPh sb="3" eb="4">
      <t>サキ</t>
    </rPh>
    <phoneticPr fontId="1"/>
  </si>
  <si>
    <t>出発日</t>
    <rPh sb="0" eb="2">
      <t>シュッパツ</t>
    </rPh>
    <rPh sb="2" eb="3">
      <t>ビ</t>
    </rPh>
    <phoneticPr fontId="1"/>
  </si>
  <si>
    <t>帰国日</t>
    <rPh sb="0" eb="3">
      <t>キコクビ</t>
    </rPh>
    <phoneticPr fontId="1"/>
  </si>
  <si>
    <t>予約人数</t>
    <rPh sb="0" eb="2">
      <t>ヨヤク</t>
    </rPh>
    <rPh sb="2" eb="4">
      <t>ニンズウ</t>
    </rPh>
    <phoneticPr fontId="1"/>
  </si>
  <si>
    <t>日数</t>
    <rPh sb="0" eb="2">
      <t>ニッスウ</t>
    </rPh>
    <phoneticPr fontId="1"/>
  </si>
  <si>
    <t>香港</t>
    <rPh sb="0" eb="2">
      <t>ホンコン</t>
    </rPh>
    <phoneticPr fontId="14"/>
  </si>
  <si>
    <t>バリ島</t>
    <rPh sb="2" eb="3">
      <t>トウ</t>
    </rPh>
    <phoneticPr fontId="14"/>
  </si>
  <si>
    <t>ソウル</t>
    <phoneticPr fontId="14"/>
  </si>
  <si>
    <t>セブ島</t>
    <rPh sb="2" eb="3">
      <t>トウ</t>
    </rPh>
    <phoneticPr fontId="14"/>
  </si>
  <si>
    <t>ハワイ（オアフ島）</t>
    <rPh sb="7" eb="8">
      <t>トウ</t>
    </rPh>
    <phoneticPr fontId="14"/>
  </si>
  <si>
    <t>トルコ（パムッカレ）</t>
    <phoneticPr fontId="14"/>
  </si>
  <si>
    <t>バンコク・プーケット</t>
    <phoneticPr fontId="14"/>
  </si>
  <si>
    <t>LC37G</t>
    <phoneticPr fontId="1"/>
  </si>
  <si>
    <t>PC015</t>
    <phoneticPr fontId="1"/>
  </si>
  <si>
    <t>オーブンレンジ</t>
    <phoneticPr fontId="1"/>
  </si>
  <si>
    <t>WM45K</t>
    <phoneticPr fontId="1"/>
  </si>
  <si>
    <t>有料音楽配信売上実績</t>
  </si>
  <si>
    <t>（単位：千回）</t>
    <phoneticPr fontId="1"/>
  </si>
  <si>
    <t>期</t>
    <rPh sb="0" eb="1">
      <t>キ</t>
    </rPh>
    <phoneticPr fontId="1"/>
  </si>
  <si>
    <t>配信方法</t>
    <rPh sb="0" eb="2">
      <t>ハイシン</t>
    </rPh>
    <rPh sb="2" eb="4">
      <t>ホウホウ</t>
    </rPh>
    <phoneticPr fontId="1"/>
  </si>
  <si>
    <t>インターネット・ダウンロード</t>
  </si>
  <si>
    <t>モバイル</t>
  </si>
  <si>
    <t>その他</t>
  </si>
  <si>
    <t>合計</t>
  </si>
  <si>
    <t>20XX年</t>
    <rPh sb="4" eb="5">
      <t>ネン</t>
    </rPh>
    <phoneticPr fontId="1"/>
  </si>
  <si>
    <t>1～3月</t>
    <rPh sb="3" eb="4">
      <t>ガツ</t>
    </rPh>
    <phoneticPr fontId="1"/>
  </si>
  <si>
    <t>4～6月</t>
    <rPh sb="3" eb="4">
      <t>ガツ</t>
    </rPh>
    <phoneticPr fontId="1"/>
  </si>
  <si>
    <t>7～9月</t>
    <rPh sb="3" eb="4">
      <t>ガツ</t>
    </rPh>
    <phoneticPr fontId="1"/>
  </si>
  <si>
    <t>10～12月</t>
    <rPh sb="5" eb="6">
      <t>ガツ</t>
    </rPh>
    <phoneticPr fontId="1"/>
  </si>
  <si>
    <t>構成比</t>
    <rPh sb="0" eb="3">
      <t>コウセイヒ</t>
    </rPh>
    <phoneticPr fontId="1"/>
  </si>
  <si>
    <t>20YY年</t>
    <rPh sb="4" eb="5">
      <t>ネン</t>
    </rPh>
    <phoneticPr fontId="1"/>
  </si>
  <si>
    <t>20ZZ年</t>
    <rPh sb="4" eb="5">
      <t>ネン</t>
    </rPh>
    <phoneticPr fontId="1"/>
  </si>
  <si>
    <t>平均</t>
    <rPh sb="0" eb="2">
      <t>ヘイキン</t>
    </rPh>
    <phoneticPr fontId="1"/>
  </si>
  <si>
    <t>最大数</t>
    <rPh sb="0" eb="2">
      <t>サイダイ</t>
    </rPh>
    <rPh sb="2" eb="3">
      <t>スウ</t>
    </rPh>
    <phoneticPr fontId="1"/>
  </si>
  <si>
    <t>最小数</t>
    <rPh sb="0" eb="2">
      <t>サイショウ</t>
    </rPh>
    <rPh sb="2" eb="3">
      <t>スウ</t>
    </rPh>
    <phoneticPr fontId="1"/>
  </si>
  <si>
    <t>北の名物鍋セット　出荷表</t>
    <rPh sb="0" eb="1">
      <t>キタ</t>
    </rPh>
    <rPh sb="2" eb="4">
      <t>メイブツ</t>
    </rPh>
    <rPh sb="4" eb="5">
      <t>ナベ</t>
    </rPh>
    <rPh sb="9" eb="11">
      <t>シュッカ</t>
    </rPh>
    <rPh sb="11" eb="12">
      <t>ヒョウ</t>
    </rPh>
    <phoneticPr fontId="14"/>
  </si>
  <si>
    <t>特産品</t>
    <rPh sb="0" eb="3">
      <t>トクサンヒン</t>
    </rPh>
    <phoneticPr fontId="14"/>
  </si>
  <si>
    <t>今年度
出荷数</t>
    <rPh sb="0" eb="3">
      <t>コンネンド</t>
    </rPh>
    <rPh sb="4" eb="6">
      <t>シュッカ</t>
    </rPh>
    <rPh sb="6" eb="7">
      <t>スウ</t>
    </rPh>
    <phoneticPr fontId="14"/>
  </si>
  <si>
    <t>今年度
構成比</t>
    <rPh sb="0" eb="3">
      <t>コンネンド</t>
    </rPh>
    <rPh sb="4" eb="7">
      <t>コウセイヒ</t>
    </rPh>
    <phoneticPr fontId="14"/>
  </si>
  <si>
    <t>今年度
目標数</t>
    <rPh sb="0" eb="3">
      <t>コンネンド</t>
    </rPh>
    <rPh sb="4" eb="6">
      <t>モクヒョウ</t>
    </rPh>
    <rPh sb="6" eb="7">
      <t>スウ</t>
    </rPh>
    <phoneticPr fontId="14"/>
  </si>
  <si>
    <t>目標
達成率</t>
    <rPh sb="0" eb="2">
      <t>モクヒョウ</t>
    </rPh>
    <rPh sb="3" eb="6">
      <t>タッセイリツ</t>
    </rPh>
    <phoneticPr fontId="14"/>
  </si>
  <si>
    <t>前年度
出荷数</t>
    <rPh sb="0" eb="3">
      <t>ゼンネンド</t>
    </rPh>
    <rPh sb="4" eb="6">
      <t>シュッカ</t>
    </rPh>
    <rPh sb="6" eb="7">
      <t>スウ</t>
    </rPh>
    <phoneticPr fontId="14"/>
  </si>
  <si>
    <t>前年度比</t>
    <rPh sb="0" eb="4">
      <t>ゼンネンドヒ</t>
    </rPh>
    <phoneticPr fontId="14"/>
  </si>
  <si>
    <t>前年度比順位</t>
    <rPh sb="0" eb="4">
      <t>ゼンネンドヒ</t>
    </rPh>
    <rPh sb="4" eb="6">
      <t>ジュンイ</t>
    </rPh>
    <phoneticPr fontId="1"/>
  </si>
  <si>
    <t>評価</t>
    <rPh sb="0" eb="2">
      <t>ヒョウカ</t>
    </rPh>
    <phoneticPr fontId="14"/>
  </si>
  <si>
    <t>北海石狩鍋セット</t>
    <rPh sb="0" eb="2">
      <t>ホッカイ</t>
    </rPh>
    <rPh sb="2" eb="4">
      <t>イシカリ</t>
    </rPh>
    <rPh sb="4" eb="5">
      <t>ナベ</t>
    </rPh>
    <phoneticPr fontId="14"/>
  </si>
  <si>
    <t>ぜいたくカニ鍋セット</t>
    <rPh sb="6" eb="7">
      <t>ナベ</t>
    </rPh>
    <phoneticPr fontId="14"/>
  </si>
  <si>
    <t>山麓いのしし鍋セット</t>
    <rPh sb="0" eb="2">
      <t>サンロク</t>
    </rPh>
    <rPh sb="6" eb="7">
      <t>ナベ</t>
    </rPh>
    <phoneticPr fontId="14"/>
  </si>
  <si>
    <t>ふるさとせんべい汁鍋セット</t>
    <rPh sb="8" eb="9">
      <t>シル</t>
    </rPh>
    <rPh sb="9" eb="10">
      <t>ナベ</t>
    </rPh>
    <phoneticPr fontId="14"/>
  </si>
  <si>
    <t>名物きりたんぽ鍋セット</t>
    <rPh sb="0" eb="2">
      <t>メイブツ</t>
    </rPh>
    <rPh sb="7" eb="8">
      <t>ナベ</t>
    </rPh>
    <phoneticPr fontId="14"/>
  </si>
  <si>
    <t>ハタハタしょっつる鍋セット</t>
    <rPh sb="9" eb="10">
      <t>ナベ</t>
    </rPh>
    <phoneticPr fontId="14"/>
  </si>
  <si>
    <t>南部地鶏鍋セット</t>
    <rPh sb="0" eb="2">
      <t>ナンブ</t>
    </rPh>
    <rPh sb="2" eb="4">
      <t>ジドリ</t>
    </rPh>
    <rPh sb="4" eb="5">
      <t>ナベ</t>
    </rPh>
    <phoneticPr fontId="14"/>
  </si>
  <si>
    <t>山形牛芋煮セット</t>
    <rPh sb="0" eb="2">
      <t>ヤマガタ</t>
    </rPh>
    <rPh sb="2" eb="3">
      <t>ギュウ</t>
    </rPh>
    <rPh sb="3" eb="4">
      <t>イモ</t>
    </rPh>
    <rPh sb="4" eb="5">
      <t>ニ</t>
    </rPh>
    <phoneticPr fontId="14"/>
  </si>
  <si>
    <t>牡蠣土手鍋セット</t>
    <rPh sb="0" eb="2">
      <t>カキ</t>
    </rPh>
    <rPh sb="2" eb="4">
      <t>ドテ</t>
    </rPh>
    <rPh sb="4" eb="5">
      <t>ナベ</t>
    </rPh>
    <phoneticPr fontId="14"/>
  </si>
  <si>
    <t>旬鮮あんこう鍋セット</t>
    <rPh sb="0" eb="1">
      <t>シュン</t>
    </rPh>
    <rPh sb="1" eb="2">
      <t>アラタ</t>
    </rPh>
    <rPh sb="6" eb="7">
      <t>ナベ</t>
    </rPh>
    <phoneticPr fontId="14"/>
  </si>
  <si>
    <t>合計</t>
    <rPh sb="0" eb="2">
      <t>ゴウケイ</t>
    </rPh>
    <phoneticPr fontId="14"/>
  </si>
  <si>
    <t>－</t>
    <phoneticPr fontId="1"/>
  </si>
  <si>
    <t>梅里キャンパス店売上集計表</t>
    <rPh sb="0" eb="1">
      <t>ウメ</t>
    </rPh>
    <rPh sb="1" eb="2">
      <t>サト</t>
    </rPh>
    <rPh sb="7" eb="8">
      <t>テン</t>
    </rPh>
    <rPh sb="8" eb="10">
      <t>ウリアゲ</t>
    </rPh>
    <rPh sb="10" eb="12">
      <t>シュウケイ</t>
    </rPh>
    <rPh sb="12" eb="13">
      <t>ヒョウ</t>
    </rPh>
    <phoneticPr fontId="14"/>
  </si>
  <si>
    <t>メニュー名</t>
    <rPh sb="4" eb="5">
      <t>メイ</t>
    </rPh>
    <phoneticPr fontId="14"/>
  </si>
  <si>
    <t>単価</t>
    <rPh sb="0" eb="2">
      <t>タンカ</t>
    </rPh>
    <phoneticPr fontId="14"/>
  </si>
  <si>
    <t>月</t>
    <rPh sb="0" eb="1">
      <t>ゲツ</t>
    </rPh>
    <phoneticPr fontId="14"/>
  </si>
  <si>
    <t>火</t>
  </si>
  <si>
    <t>水</t>
  </si>
  <si>
    <t>木</t>
  </si>
  <si>
    <t>金</t>
  </si>
  <si>
    <t>数量合計</t>
    <rPh sb="0" eb="2">
      <t>スウリョウ</t>
    </rPh>
    <rPh sb="2" eb="4">
      <t>ゴウケイ</t>
    </rPh>
    <phoneticPr fontId="14"/>
  </si>
  <si>
    <t>売上金額</t>
    <rPh sb="0" eb="2">
      <t>ウリアゲ</t>
    </rPh>
    <rPh sb="2" eb="4">
      <t>キンガク</t>
    </rPh>
    <phoneticPr fontId="14"/>
  </si>
  <si>
    <t>お好みチョイス定食</t>
    <rPh sb="1" eb="2">
      <t>コノ</t>
    </rPh>
    <rPh sb="7" eb="9">
      <t>テイショク</t>
    </rPh>
    <phoneticPr fontId="1"/>
  </si>
  <si>
    <t>チキンドリアセット</t>
    <phoneticPr fontId="14"/>
  </si>
  <si>
    <t>季節のパスタセット</t>
    <rPh sb="0" eb="2">
      <t>キセツ</t>
    </rPh>
    <phoneticPr fontId="14"/>
  </si>
  <si>
    <t>ビッグバーガーセット</t>
    <phoneticPr fontId="14"/>
  </si>
  <si>
    <t>スペシャル丼</t>
    <rPh sb="5" eb="6">
      <t>ドンブリ</t>
    </rPh>
    <phoneticPr fontId="1"/>
  </si>
  <si>
    <t>－</t>
    <phoneticPr fontId="1"/>
  </si>
  <si>
    <t>■統計表</t>
    <rPh sb="1" eb="3">
      <t>トウケイ</t>
    </rPh>
    <rPh sb="3" eb="4">
      <t>ヒョウ</t>
    </rPh>
    <phoneticPr fontId="1"/>
  </si>
  <si>
    <t>メニュー数</t>
    <rPh sb="4" eb="5">
      <t>スウ</t>
    </rPh>
    <phoneticPr fontId="14"/>
  </si>
  <si>
    <t>売上平均</t>
    <rPh sb="0" eb="2">
      <t>ウリアゲ</t>
    </rPh>
    <rPh sb="2" eb="4">
      <t>ヘイキン</t>
    </rPh>
    <phoneticPr fontId="14"/>
  </si>
  <si>
    <t>最高売上</t>
    <rPh sb="0" eb="2">
      <t>サイコウ</t>
    </rPh>
    <rPh sb="2" eb="4">
      <t>ウリアゲ</t>
    </rPh>
    <phoneticPr fontId="14"/>
  </si>
  <si>
    <t>最低売上</t>
    <rPh sb="0" eb="2">
      <t>サイテイ</t>
    </rPh>
    <rPh sb="2" eb="4">
      <t>ウリアゲ</t>
    </rPh>
    <phoneticPr fontId="14"/>
  </si>
</sst>
</file>

<file path=xl/styles.xml><?xml version="1.0" encoding="utf-8"?>
<styleSheet xmlns="http://schemas.openxmlformats.org/spreadsheetml/2006/main">
  <numFmts count="4">
    <numFmt numFmtId="6" formatCode="&quot;¥&quot;#,##0;[Red]&quot;¥&quot;\-#,##0"/>
    <numFmt numFmtId="176" formatCode="0.000_ "/>
    <numFmt numFmtId="177" formatCode="m&quot;月&quot;d&quot;日&quot;;@"/>
    <numFmt numFmtId="178" formatCode="0.0%"/>
  </numFmts>
  <fonts count="2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sz val="9"/>
      <color rgb="FF33333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4"/>
      <color theme="7" tint="-0.249977111117893"/>
      <name val="ＭＳ Ｐゴシック"/>
      <family val="3"/>
      <charset val="128"/>
      <scheme val="minor"/>
    </font>
    <font>
      <b/>
      <sz val="11"/>
      <color theme="7" tint="-0.24997711111789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theme="2" tint="-0.749992370372631"/>
      <name val="ＭＳ Ｐゴシック"/>
      <family val="3"/>
      <charset val="128"/>
      <scheme val="minor"/>
    </font>
    <font>
      <sz val="11"/>
      <color theme="2" tint="-0.749992370372631"/>
      <name val="ＭＳ Ｐゴシック"/>
      <family val="3"/>
      <charset val="128"/>
      <scheme val="minor"/>
    </font>
    <font>
      <i/>
      <sz val="11"/>
      <color theme="2" tint="-0.749992370372631"/>
      <name val="ＭＳ Ｐゴシック"/>
      <family val="3"/>
      <charset val="128"/>
      <scheme val="minor"/>
    </font>
    <font>
      <b/>
      <sz val="16"/>
      <color indexed="53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6"/>
      <color theme="5"/>
      <name val="ＭＳ Ｐゴシック"/>
      <family val="3"/>
      <charset val="128"/>
      <scheme val="minor"/>
    </font>
    <font>
      <b/>
      <sz val="11"/>
      <color theme="5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7" tint="0.39997558519241921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/>
    <xf numFmtId="0" fontId="4" fillId="0" borderId="0" xfId="0" applyFont="1" applyAlignment="1">
      <alignment vertical="center"/>
    </xf>
    <xf numFmtId="176" fontId="6" fillId="0" borderId="0" xfId="0" applyNumberFormat="1" applyFont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2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6" fontId="10" fillId="0" borderId="2" xfId="2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9" fontId="0" fillId="3" borderId="0" xfId="0" applyNumberFormat="1" applyFill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9" fontId="0" fillId="0" borderId="3" xfId="3" applyFont="1" applyBorder="1">
      <alignment vertical="center"/>
    </xf>
    <xf numFmtId="6" fontId="0" fillId="0" borderId="3" xfId="2" applyFon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9" fontId="0" fillId="0" borderId="0" xfId="0" applyNumberFormat="1">
      <alignment vertical="center"/>
    </xf>
    <xf numFmtId="0" fontId="1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5" xfId="0" applyBorder="1">
      <alignment vertical="center"/>
    </xf>
    <xf numFmtId="177" fontId="0" fillId="0" borderId="5" xfId="0" applyNumberFormat="1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5" xfId="0" applyNumberFormat="1" applyBorder="1">
      <alignment vertical="center"/>
    </xf>
    <xf numFmtId="0" fontId="0" fillId="0" borderId="5" xfId="0" applyFill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15" fillId="0" borderId="0" xfId="0" applyFont="1">
      <alignment vertical="center"/>
    </xf>
    <xf numFmtId="0" fontId="6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6" fillId="5" borderId="3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3" fontId="6" fillId="0" borderId="3" xfId="0" applyNumberFormat="1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178" fontId="17" fillId="0" borderId="8" xfId="3" applyNumberFormat="1" applyFont="1" applyFill="1" applyBorder="1" applyAlignment="1">
      <alignment horizontal="right" vertical="center" wrapText="1"/>
    </xf>
    <xf numFmtId="0" fontId="0" fillId="5" borderId="3" xfId="0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 wrapText="1"/>
    </xf>
    <xf numFmtId="3" fontId="6" fillId="5" borderId="3" xfId="0" applyNumberFormat="1" applyFont="1" applyFill="1" applyBorder="1" applyAlignment="1">
      <alignment horizontal="right" vertical="center" wrapText="1"/>
    </xf>
    <xf numFmtId="0" fontId="6" fillId="5" borderId="3" xfId="0" applyFont="1" applyFill="1" applyBorder="1" applyAlignment="1">
      <alignment horizontal="right" vertical="center" wrapText="1"/>
    </xf>
    <xf numFmtId="0" fontId="0" fillId="5" borderId="9" xfId="0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 wrapText="1"/>
    </xf>
    <xf numFmtId="178" fontId="17" fillId="5" borderId="9" xfId="3" applyNumberFormat="1" applyFont="1" applyFill="1" applyBorder="1" applyAlignment="1">
      <alignment horizontal="right" vertical="center" wrapText="1"/>
    </xf>
    <xf numFmtId="0" fontId="17" fillId="0" borderId="3" xfId="0" applyFont="1" applyFill="1" applyBorder="1" applyAlignment="1">
      <alignment horizontal="center" vertical="center" wrapText="1"/>
    </xf>
    <xf numFmtId="178" fontId="17" fillId="0" borderId="3" xfId="3" applyNumberFormat="1" applyFont="1" applyFill="1" applyBorder="1" applyAlignment="1">
      <alignment horizontal="right" vertical="center" wrapText="1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3" fontId="0" fillId="5" borderId="3" xfId="0" applyNumberFormat="1" applyFill="1" applyBorder="1">
      <alignment vertical="center"/>
    </xf>
    <xf numFmtId="0" fontId="18" fillId="0" borderId="0" xfId="0" applyFont="1">
      <alignment vertical="center"/>
    </xf>
    <xf numFmtId="0" fontId="19" fillId="6" borderId="3" xfId="0" applyFont="1" applyFill="1" applyBorder="1" applyAlignment="1">
      <alignment horizontal="center" vertical="center" wrapText="1"/>
    </xf>
    <xf numFmtId="178" fontId="0" fillId="0" borderId="3" xfId="3" applyNumberFormat="1" applyFont="1" applyBorder="1">
      <alignment vertical="center"/>
    </xf>
    <xf numFmtId="0" fontId="0" fillId="0" borderId="3" xfId="3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ill="1" applyBorder="1">
      <alignment vertical="center"/>
    </xf>
    <xf numFmtId="38" fontId="0" fillId="0" borderId="3" xfId="0" applyNumberFormat="1" applyBorder="1">
      <alignment vertical="center"/>
    </xf>
    <xf numFmtId="0" fontId="20" fillId="0" borderId="0" xfId="0" applyFont="1" applyAlignment="1"/>
    <xf numFmtId="0" fontId="0" fillId="0" borderId="0" xfId="0" applyAlignment="1"/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0" borderId="15" xfId="0" applyBorder="1">
      <alignment vertical="center"/>
    </xf>
    <xf numFmtId="6" fontId="0" fillId="0" borderId="16" xfId="2" applyFont="1" applyBorder="1" applyAlignment="1"/>
    <xf numFmtId="38" fontId="0" fillId="0" borderId="16" xfId="1" applyFont="1" applyBorder="1" applyAlignment="1"/>
    <xf numFmtId="6" fontId="0" fillId="0" borderId="17" xfId="2" applyFont="1" applyBorder="1" applyAlignment="1"/>
    <xf numFmtId="0" fontId="0" fillId="0" borderId="15" xfId="0" applyBorder="1" applyAlignment="1"/>
    <xf numFmtId="0" fontId="0" fillId="7" borderId="18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38" fontId="0" fillId="7" borderId="19" xfId="1" applyFont="1" applyFill="1" applyBorder="1" applyAlignment="1"/>
    <xf numFmtId="38" fontId="0" fillId="7" borderId="20" xfId="1" applyFont="1" applyFill="1" applyBorder="1" applyAlignment="1"/>
    <xf numFmtId="0" fontId="21" fillId="0" borderId="0" xfId="0" applyFont="1" applyFill="1" applyBorder="1" applyAlignmen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7" borderId="15" xfId="0" applyFill="1" applyBorder="1" applyAlignment="1">
      <alignment horizontal="center"/>
    </xf>
    <xf numFmtId="6" fontId="0" fillId="0" borderId="16" xfId="0" applyNumberFormat="1" applyBorder="1" applyAlignment="1">
      <alignment horizontal="center" vertical="center"/>
    </xf>
    <xf numFmtId="6" fontId="0" fillId="0" borderId="17" xfId="0" applyNumberFormat="1" applyBorder="1" applyAlignment="1">
      <alignment horizontal="center" vertical="center"/>
    </xf>
    <xf numFmtId="6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2">
    <dxf>
      <font>
        <condense val="0"/>
        <extend val="0"/>
        <color auto="1"/>
      </font>
      <fill>
        <patternFill>
          <bgColor indexed="4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F21" sqref="F21"/>
    </sheetView>
  </sheetViews>
  <sheetFormatPr defaultRowHeight="13.5"/>
  <sheetData>
    <row r="1" spans="1:9" ht="18.75">
      <c r="A1" s="80" t="s">
        <v>161</v>
      </c>
      <c r="C1" s="81"/>
      <c r="D1" s="81"/>
      <c r="E1" s="81"/>
      <c r="F1" s="81"/>
      <c r="G1" s="81"/>
      <c r="H1" s="81"/>
      <c r="I1" s="81"/>
    </row>
    <row r="2" spans="1:9" ht="14.25" thickBot="1">
      <c r="A2" s="81"/>
      <c r="B2" s="81"/>
      <c r="C2" s="81"/>
      <c r="D2" s="81"/>
      <c r="E2" s="81"/>
      <c r="F2" s="81"/>
      <c r="G2" s="81"/>
      <c r="H2" s="81"/>
      <c r="I2" s="81"/>
    </row>
    <row r="3" spans="1:9">
      <c r="A3" s="82" t="s">
        <v>162</v>
      </c>
      <c r="B3" s="83" t="s">
        <v>163</v>
      </c>
      <c r="C3" s="83" t="s">
        <v>164</v>
      </c>
      <c r="D3" s="83" t="s">
        <v>165</v>
      </c>
      <c r="E3" s="83" t="s">
        <v>166</v>
      </c>
      <c r="F3" s="83" t="s">
        <v>167</v>
      </c>
      <c r="G3" s="83" t="s">
        <v>168</v>
      </c>
      <c r="H3" s="83" t="s">
        <v>169</v>
      </c>
      <c r="I3" s="84" t="s">
        <v>170</v>
      </c>
    </row>
    <row r="4" spans="1:9">
      <c r="A4" s="85" t="s">
        <v>171</v>
      </c>
      <c r="B4" s="86">
        <v>500</v>
      </c>
      <c r="C4" s="87">
        <v>226</v>
      </c>
      <c r="D4" s="87">
        <v>257</v>
      </c>
      <c r="E4" s="87">
        <v>274</v>
      </c>
      <c r="F4" s="87">
        <v>236</v>
      </c>
      <c r="G4" s="87">
        <v>206</v>
      </c>
      <c r="H4" s="87">
        <f>SUM(C4:G4)</f>
        <v>1199</v>
      </c>
      <c r="I4" s="88">
        <f>B4*H4</f>
        <v>599500</v>
      </c>
    </row>
    <row r="5" spans="1:9">
      <c r="A5" s="89" t="s">
        <v>172</v>
      </c>
      <c r="B5" s="86">
        <v>450</v>
      </c>
      <c r="C5" s="87">
        <v>123</v>
      </c>
      <c r="D5" s="87">
        <v>186</v>
      </c>
      <c r="E5" s="87">
        <v>192</v>
      </c>
      <c r="F5" s="87">
        <v>187</v>
      </c>
      <c r="G5" s="87">
        <v>157</v>
      </c>
      <c r="H5" s="87">
        <f>SUM(C5:G5)</f>
        <v>845</v>
      </c>
      <c r="I5" s="88">
        <f t="shared" ref="I5:I8" si="0">B5*H5</f>
        <v>380250</v>
      </c>
    </row>
    <row r="6" spans="1:9">
      <c r="A6" s="89" t="s">
        <v>173</v>
      </c>
      <c r="B6" s="86">
        <v>480</v>
      </c>
      <c r="C6" s="87">
        <v>286</v>
      </c>
      <c r="D6" s="87">
        <v>248</v>
      </c>
      <c r="E6" s="87">
        <v>306</v>
      </c>
      <c r="F6" s="87">
        <v>259</v>
      </c>
      <c r="G6" s="87">
        <v>236</v>
      </c>
      <c r="H6" s="87">
        <f>SUM(C6:G6)</f>
        <v>1335</v>
      </c>
      <c r="I6" s="88">
        <f t="shared" si="0"/>
        <v>640800</v>
      </c>
    </row>
    <row r="7" spans="1:9">
      <c r="A7" s="89" t="s">
        <v>174</v>
      </c>
      <c r="B7" s="86">
        <v>400</v>
      </c>
      <c r="C7" s="87">
        <v>232</v>
      </c>
      <c r="D7" s="87">
        <v>237</v>
      </c>
      <c r="E7" s="87">
        <v>193</v>
      </c>
      <c r="F7" s="87">
        <v>217</v>
      </c>
      <c r="G7" s="87">
        <v>227</v>
      </c>
      <c r="H7" s="87">
        <f>SUM(C7:G7)</f>
        <v>1106</v>
      </c>
      <c r="I7" s="88">
        <f t="shared" si="0"/>
        <v>442400</v>
      </c>
    </row>
    <row r="8" spans="1:9">
      <c r="A8" s="89" t="s">
        <v>175</v>
      </c>
      <c r="B8" s="86">
        <v>380</v>
      </c>
      <c r="C8" s="87">
        <v>175</v>
      </c>
      <c r="D8" s="87">
        <v>208</v>
      </c>
      <c r="E8" s="87">
        <v>218</v>
      </c>
      <c r="F8" s="87">
        <v>197</v>
      </c>
      <c r="G8" s="87">
        <v>228</v>
      </c>
      <c r="H8" s="87">
        <f>SUM(C8:G8)</f>
        <v>1026</v>
      </c>
      <c r="I8" s="88">
        <f t="shared" si="0"/>
        <v>389880</v>
      </c>
    </row>
    <row r="9" spans="1:9" ht="14.25" thickBot="1">
      <c r="A9" s="90" t="s">
        <v>169</v>
      </c>
      <c r="B9" s="91" t="s">
        <v>176</v>
      </c>
      <c r="C9" s="92">
        <f t="shared" ref="C9:I9" si="1">SUM(C4:C8)</f>
        <v>1042</v>
      </c>
      <c r="D9" s="92">
        <f t="shared" si="1"/>
        <v>1136</v>
      </c>
      <c r="E9" s="92">
        <f t="shared" si="1"/>
        <v>1183</v>
      </c>
      <c r="F9" s="92">
        <f t="shared" si="1"/>
        <v>1096</v>
      </c>
      <c r="G9" s="92">
        <f t="shared" si="1"/>
        <v>1054</v>
      </c>
      <c r="H9" s="92">
        <f t="shared" si="1"/>
        <v>5511</v>
      </c>
      <c r="I9" s="93">
        <f t="shared" si="1"/>
        <v>2452830</v>
      </c>
    </row>
    <row r="10" spans="1:9">
      <c r="B10" s="81"/>
      <c r="C10" s="81"/>
      <c r="D10" s="81"/>
      <c r="E10" s="81"/>
      <c r="F10" s="81"/>
      <c r="G10" s="81"/>
      <c r="H10" s="81"/>
      <c r="I10" s="81"/>
    </row>
    <row r="11" spans="1:9" ht="14.25" thickBot="1">
      <c r="A11" s="94" t="s">
        <v>177</v>
      </c>
      <c r="B11" s="81"/>
      <c r="C11" s="81"/>
      <c r="D11" s="81"/>
      <c r="E11" s="81"/>
      <c r="F11" s="81"/>
      <c r="G11" s="81"/>
      <c r="H11" s="81"/>
      <c r="I11" s="81"/>
    </row>
    <row r="12" spans="1:9">
      <c r="A12" s="82" t="s">
        <v>178</v>
      </c>
      <c r="B12" s="95">
        <f>COUNTA(A4:A8)</f>
        <v>5</v>
      </c>
      <c r="C12" s="96"/>
      <c r="D12" s="81"/>
      <c r="E12" s="81"/>
      <c r="F12" s="81"/>
      <c r="G12" s="81"/>
      <c r="H12" s="81"/>
      <c r="I12" s="81"/>
    </row>
    <row r="13" spans="1:9">
      <c r="A13" s="97" t="s">
        <v>179</v>
      </c>
      <c r="B13" s="98">
        <f>AVERAGE(I4:I8)</f>
        <v>490566</v>
      </c>
      <c r="C13" s="99"/>
    </row>
    <row r="14" spans="1:9">
      <c r="A14" s="97" t="s">
        <v>180</v>
      </c>
      <c r="B14" s="98">
        <f>MAX(I4:I8)</f>
        <v>640800</v>
      </c>
      <c r="C14" s="99"/>
    </row>
    <row r="15" spans="1:9" ht="14.25" thickBot="1">
      <c r="A15" s="90" t="s">
        <v>181</v>
      </c>
      <c r="B15" s="100">
        <f>MIN(I4:I8)</f>
        <v>380250</v>
      </c>
      <c r="C15" s="101"/>
    </row>
  </sheetData>
  <mergeCells count="4">
    <mergeCell ref="B12:C12"/>
    <mergeCell ref="B13:C13"/>
    <mergeCell ref="B14:C14"/>
    <mergeCell ref="B15:C1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F12" sqref="F12"/>
    </sheetView>
  </sheetViews>
  <sheetFormatPr defaultRowHeight="13.5"/>
  <sheetData>
    <row r="1" spans="1:9" ht="18.75">
      <c r="A1" s="73" t="s">
        <v>139</v>
      </c>
    </row>
    <row r="3" spans="1:9" ht="27">
      <c r="A3" s="74" t="s">
        <v>140</v>
      </c>
      <c r="B3" s="74" t="s">
        <v>141</v>
      </c>
      <c r="C3" s="74" t="s">
        <v>142</v>
      </c>
      <c r="D3" s="74" t="s">
        <v>143</v>
      </c>
      <c r="E3" s="74" t="s">
        <v>144</v>
      </c>
      <c r="F3" s="74" t="s">
        <v>145</v>
      </c>
      <c r="G3" s="74" t="s">
        <v>146</v>
      </c>
      <c r="H3" s="74" t="s">
        <v>147</v>
      </c>
      <c r="I3" s="74" t="s">
        <v>148</v>
      </c>
    </row>
    <row r="4" spans="1:9">
      <c r="A4" s="19" t="s">
        <v>149</v>
      </c>
      <c r="B4" s="20">
        <v>3600</v>
      </c>
      <c r="C4" s="75">
        <f>B4/$B$14</f>
        <v>8.3333333333333329E-2</v>
      </c>
      <c r="D4" s="20">
        <f>F4*(1+10%)</f>
        <v>3850.0000000000005</v>
      </c>
      <c r="E4" s="75">
        <f>B4/D4</f>
        <v>0.93506493506493493</v>
      </c>
      <c r="F4" s="20">
        <v>3500</v>
      </c>
      <c r="G4" s="75">
        <f>B4/F4</f>
        <v>1.0285714285714285</v>
      </c>
      <c r="H4" s="76">
        <f>RANK(G4,$G$4:$G$13)</f>
        <v>3</v>
      </c>
      <c r="I4" s="77" t="str">
        <f>IF(G4&gt;=100%,"好調","")</f>
        <v>好調</v>
      </c>
    </row>
    <row r="5" spans="1:9">
      <c r="A5" s="19" t="s">
        <v>150</v>
      </c>
      <c r="B5" s="20">
        <v>8000</v>
      </c>
      <c r="C5" s="75">
        <f t="shared" ref="C5:C13" si="0">B5/$B$14</f>
        <v>0.18518518518518517</v>
      </c>
      <c r="D5" s="20">
        <f t="shared" ref="D5:D13" si="1">F5*(1+10%)</f>
        <v>7700.0000000000009</v>
      </c>
      <c r="E5" s="75">
        <f t="shared" ref="E5:E13" si="2">B5/D5</f>
        <v>1.0389610389610389</v>
      </c>
      <c r="F5" s="20">
        <v>7000</v>
      </c>
      <c r="G5" s="75">
        <f t="shared" ref="G5:G14" si="3">B5/F5</f>
        <v>1.1428571428571428</v>
      </c>
      <c r="H5" s="76">
        <f t="shared" ref="H5:H13" si="4">RANK(G5,$G$4:$G$13)</f>
        <v>2</v>
      </c>
      <c r="I5" s="77" t="str">
        <f t="shared" ref="I5:I13" si="5">IF(G5&gt;=100%,"好調","")</f>
        <v>好調</v>
      </c>
    </row>
    <row r="6" spans="1:9">
      <c r="A6" s="19" t="s">
        <v>151</v>
      </c>
      <c r="B6" s="20">
        <v>1800</v>
      </c>
      <c r="C6" s="75">
        <f t="shared" si="0"/>
        <v>4.1666666666666664E-2</v>
      </c>
      <c r="D6" s="20">
        <f t="shared" si="1"/>
        <v>2200</v>
      </c>
      <c r="E6" s="75">
        <f t="shared" si="2"/>
        <v>0.81818181818181823</v>
      </c>
      <c r="F6" s="20">
        <v>2000</v>
      </c>
      <c r="G6" s="75">
        <f t="shared" si="3"/>
        <v>0.9</v>
      </c>
      <c r="H6" s="76">
        <f t="shared" si="4"/>
        <v>9</v>
      </c>
      <c r="I6" s="77" t="str">
        <f t="shared" si="5"/>
        <v/>
      </c>
    </row>
    <row r="7" spans="1:9">
      <c r="A7" s="19" t="s">
        <v>152</v>
      </c>
      <c r="B7" s="20">
        <v>2000</v>
      </c>
      <c r="C7" s="75">
        <f t="shared" si="0"/>
        <v>4.6296296296296294E-2</v>
      </c>
      <c r="D7" s="20">
        <f t="shared" si="1"/>
        <v>2750</v>
      </c>
      <c r="E7" s="75">
        <f t="shared" si="2"/>
        <v>0.72727272727272729</v>
      </c>
      <c r="F7" s="20">
        <v>2500</v>
      </c>
      <c r="G7" s="75">
        <f t="shared" si="3"/>
        <v>0.8</v>
      </c>
      <c r="H7" s="76">
        <f t="shared" si="4"/>
        <v>10</v>
      </c>
      <c r="I7" s="77" t="str">
        <f t="shared" si="5"/>
        <v/>
      </c>
    </row>
    <row r="8" spans="1:9">
      <c r="A8" s="78" t="s">
        <v>153</v>
      </c>
      <c r="B8" s="20">
        <v>5000</v>
      </c>
      <c r="C8" s="75">
        <f t="shared" si="0"/>
        <v>0.11574074074074074</v>
      </c>
      <c r="D8" s="20">
        <f t="shared" si="1"/>
        <v>5720.0000000000009</v>
      </c>
      <c r="E8" s="75">
        <f t="shared" si="2"/>
        <v>0.87412587412587395</v>
      </c>
      <c r="F8" s="20">
        <v>5200</v>
      </c>
      <c r="G8" s="75">
        <f t="shared" si="3"/>
        <v>0.96153846153846156</v>
      </c>
      <c r="H8" s="76">
        <f t="shared" si="4"/>
        <v>6</v>
      </c>
      <c r="I8" s="77" t="str">
        <f t="shared" si="5"/>
        <v/>
      </c>
    </row>
    <row r="9" spans="1:9">
      <c r="A9" s="78" t="s">
        <v>154</v>
      </c>
      <c r="B9" s="20">
        <v>2900</v>
      </c>
      <c r="C9" s="75">
        <f t="shared" si="0"/>
        <v>6.7129629629629636E-2</v>
      </c>
      <c r="D9" s="20">
        <f t="shared" si="1"/>
        <v>3300.0000000000005</v>
      </c>
      <c r="E9" s="75">
        <f t="shared" si="2"/>
        <v>0.87878787878787867</v>
      </c>
      <c r="F9" s="20">
        <v>3000</v>
      </c>
      <c r="G9" s="75">
        <f t="shared" si="3"/>
        <v>0.96666666666666667</v>
      </c>
      <c r="H9" s="76">
        <f t="shared" si="4"/>
        <v>5</v>
      </c>
      <c r="I9" s="77" t="str">
        <f t="shared" si="5"/>
        <v/>
      </c>
    </row>
    <row r="10" spans="1:9">
      <c r="A10" s="19" t="s">
        <v>155</v>
      </c>
      <c r="B10" s="20">
        <v>3200</v>
      </c>
      <c r="C10" s="75">
        <f t="shared" si="0"/>
        <v>7.407407407407407E-2</v>
      </c>
      <c r="D10" s="20">
        <f t="shared" si="1"/>
        <v>3630.0000000000005</v>
      </c>
      <c r="E10" s="75">
        <f t="shared" si="2"/>
        <v>0.88154269972451782</v>
      </c>
      <c r="F10" s="20">
        <v>3300</v>
      </c>
      <c r="G10" s="75">
        <f t="shared" si="3"/>
        <v>0.96969696969696972</v>
      </c>
      <c r="H10" s="76">
        <f t="shared" si="4"/>
        <v>4</v>
      </c>
      <c r="I10" s="77" t="str">
        <f t="shared" si="5"/>
        <v/>
      </c>
    </row>
    <row r="11" spans="1:9">
      <c r="A11" s="19" t="s">
        <v>156</v>
      </c>
      <c r="B11" s="20">
        <v>5000</v>
      </c>
      <c r="C11" s="75">
        <f t="shared" si="0"/>
        <v>0.11574074074074074</v>
      </c>
      <c r="D11" s="20">
        <f t="shared" si="1"/>
        <v>6050.0000000000009</v>
      </c>
      <c r="E11" s="75">
        <f t="shared" si="2"/>
        <v>0.82644628099173545</v>
      </c>
      <c r="F11" s="20">
        <v>5500</v>
      </c>
      <c r="G11" s="75">
        <f t="shared" si="3"/>
        <v>0.90909090909090906</v>
      </c>
      <c r="H11" s="76">
        <f t="shared" si="4"/>
        <v>8</v>
      </c>
      <c r="I11" s="77" t="str">
        <f t="shared" si="5"/>
        <v/>
      </c>
    </row>
    <row r="12" spans="1:9">
      <c r="A12" s="19" t="s">
        <v>157</v>
      </c>
      <c r="B12" s="20">
        <v>9500</v>
      </c>
      <c r="C12" s="75">
        <f t="shared" si="0"/>
        <v>0.21990740740740741</v>
      </c>
      <c r="D12" s="20">
        <f t="shared" si="1"/>
        <v>8800</v>
      </c>
      <c r="E12" s="75">
        <f t="shared" si="2"/>
        <v>1.0795454545454546</v>
      </c>
      <c r="F12" s="20">
        <v>8000</v>
      </c>
      <c r="G12" s="75">
        <f t="shared" si="3"/>
        <v>1.1875</v>
      </c>
      <c r="H12" s="76">
        <f t="shared" si="4"/>
        <v>1</v>
      </c>
      <c r="I12" s="77" t="str">
        <f t="shared" si="5"/>
        <v>好調</v>
      </c>
    </row>
    <row r="13" spans="1:9">
      <c r="A13" s="19" t="s">
        <v>158</v>
      </c>
      <c r="B13" s="20">
        <v>2200</v>
      </c>
      <c r="C13" s="75">
        <f t="shared" si="0"/>
        <v>5.0925925925925923E-2</v>
      </c>
      <c r="D13" s="20">
        <f t="shared" si="1"/>
        <v>2530</v>
      </c>
      <c r="E13" s="75">
        <f t="shared" si="2"/>
        <v>0.86956521739130432</v>
      </c>
      <c r="F13" s="20">
        <v>2300</v>
      </c>
      <c r="G13" s="75">
        <f t="shared" si="3"/>
        <v>0.95652173913043481</v>
      </c>
      <c r="H13" s="76">
        <f t="shared" si="4"/>
        <v>7</v>
      </c>
      <c r="I13" s="77" t="str">
        <f t="shared" si="5"/>
        <v/>
      </c>
    </row>
    <row r="14" spans="1:9">
      <c r="A14" s="74" t="s">
        <v>159</v>
      </c>
      <c r="B14" s="79">
        <f>SUM(B4:B13)</f>
        <v>43200</v>
      </c>
      <c r="C14" s="75">
        <f>B14/$B$14</f>
        <v>1</v>
      </c>
      <c r="D14" s="79">
        <f>SUM(D4:D13)</f>
        <v>46530</v>
      </c>
      <c r="E14" s="75">
        <f>B14/D14</f>
        <v>0.92843326885880073</v>
      </c>
      <c r="F14" s="79">
        <f>SUM(F4:F13)</f>
        <v>42300</v>
      </c>
      <c r="G14" s="75">
        <f t="shared" si="3"/>
        <v>1.0212765957446808</v>
      </c>
      <c r="H14" s="76" t="s">
        <v>160</v>
      </c>
      <c r="I14" s="76" t="s">
        <v>160</v>
      </c>
    </row>
  </sheetData>
  <phoneticPr fontId="1"/>
  <conditionalFormatting sqref="E4:E14">
    <cfRule type="cellIs" dxfId="0" priority="2" stopIfTrue="1" operator="greaterThanOrEqual">
      <formula>1</formula>
    </cfRule>
  </conditionalFormatting>
  <conditionalFormatting sqref="C4:C14">
    <cfRule type="dataBar" priority="1">
      <dataBar>
        <cfvo type="min" val="0"/>
        <cfvo type="max" val="0"/>
        <color rgb="FFFFB628"/>
      </dataBar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6"/>
  <sheetViews>
    <sheetView topLeftCell="A3" workbookViewId="0">
      <selection activeCell="O5" sqref="O5:O6"/>
    </sheetView>
  </sheetViews>
  <sheetFormatPr defaultRowHeight="13.5"/>
  <cols>
    <col min="3" max="3" width="9.625" customWidth="1"/>
  </cols>
  <sheetData>
    <row r="1" spans="1:18" ht="17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3"/>
      <c r="B2" s="4" t="s">
        <v>1</v>
      </c>
      <c r="C2" s="2"/>
      <c r="D2" s="2"/>
      <c r="E2" s="2"/>
      <c r="F2" s="2"/>
      <c r="G2" s="2"/>
      <c r="H2" s="2"/>
      <c r="I2" s="2"/>
      <c r="J2" s="2"/>
      <c r="K2" s="4" t="s">
        <v>2</v>
      </c>
      <c r="L2" s="2"/>
      <c r="M2" s="2"/>
      <c r="N2" s="2"/>
      <c r="O2" s="2"/>
      <c r="P2" s="2"/>
      <c r="Q2" s="2"/>
      <c r="R2" s="2"/>
    </row>
    <row r="3" spans="1:18">
      <c r="A3" s="3"/>
      <c r="B3" s="5" t="s">
        <v>3</v>
      </c>
      <c r="C3" s="2"/>
      <c r="D3" s="2"/>
      <c r="E3" s="2"/>
      <c r="F3" s="2"/>
      <c r="G3" s="2"/>
      <c r="H3" s="2"/>
      <c r="I3" s="2"/>
      <c r="J3" s="2"/>
      <c r="K3" s="40" t="s">
        <v>4</v>
      </c>
      <c r="L3" s="40"/>
      <c r="M3" s="40" t="s">
        <v>5</v>
      </c>
      <c r="N3" s="38" t="s">
        <v>6</v>
      </c>
      <c r="O3" s="38" t="s">
        <v>7</v>
      </c>
      <c r="P3" s="38" t="s">
        <v>8</v>
      </c>
      <c r="Q3" s="2"/>
      <c r="R3" s="2"/>
    </row>
    <row r="4" spans="1:18">
      <c r="A4" s="3"/>
      <c r="B4" s="5" t="s">
        <v>9</v>
      </c>
      <c r="C4" s="2"/>
      <c r="D4" s="2"/>
      <c r="E4" s="2"/>
      <c r="F4" s="2"/>
      <c r="G4" s="2"/>
      <c r="H4" s="2"/>
      <c r="I4" s="2"/>
      <c r="J4" s="2"/>
      <c r="K4" s="40"/>
      <c r="L4" s="40"/>
      <c r="M4" s="40"/>
      <c r="N4" s="38"/>
      <c r="O4" s="38"/>
      <c r="P4" s="38"/>
      <c r="Q4" s="2"/>
      <c r="R4" s="2"/>
    </row>
    <row r="5" spans="1:18">
      <c r="A5" s="3"/>
      <c r="B5" s="5" t="s">
        <v>10</v>
      </c>
      <c r="C5" s="2"/>
      <c r="D5" s="2"/>
      <c r="E5" s="2"/>
      <c r="F5" s="2"/>
      <c r="G5" s="2"/>
      <c r="H5" s="2"/>
      <c r="I5" s="2"/>
      <c r="J5" s="2"/>
      <c r="K5" s="39" t="s">
        <v>11</v>
      </c>
      <c r="L5" s="39"/>
      <c r="M5" s="3">
        <f>COUNTIF($C$9:$C$36,K5)</f>
        <v>7</v>
      </c>
      <c r="N5" s="2">
        <f>SUMIF($C$9:$C$36,K5,$G$9:$G$36)</f>
        <v>476</v>
      </c>
      <c r="O5" s="2">
        <f>SUMIF($C$9:$C$36,K5,$L$9:$L$36)</f>
        <v>1547</v>
      </c>
      <c r="P5" s="6">
        <f>SUMIF($C$9:$C$36,K5,$D$9:$D$36)/M5</f>
        <v>0.27870451798869433</v>
      </c>
      <c r="Q5" s="2"/>
      <c r="R5" s="2"/>
    </row>
    <row r="6" spans="1:18">
      <c r="A6" s="3"/>
      <c r="B6" s="5" t="s">
        <v>12</v>
      </c>
      <c r="C6" s="2"/>
      <c r="D6" s="2"/>
      <c r="E6" s="2"/>
      <c r="F6" s="2"/>
      <c r="G6" s="2"/>
      <c r="H6" s="2"/>
      <c r="I6" s="2"/>
      <c r="J6" s="2"/>
      <c r="K6" s="39" t="s">
        <v>13</v>
      </c>
      <c r="L6" s="39"/>
      <c r="M6" s="3">
        <f>COUNTIF($C$9:$C$36,K6)</f>
        <v>4</v>
      </c>
      <c r="N6" s="2">
        <f>SUMIF($C$9:$C$36,K6,$G$9:$G$36)</f>
        <v>275</v>
      </c>
      <c r="O6" s="2">
        <f>SUMIF($C$9:$C$36,K6,$L$9:$L$36)</f>
        <v>929</v>
      </c>
      <c r="P6" s="6">
        <f>SUMIF($C$9:$C$36,K6,$D$9:$D$36)/M6</f>
        <v>0.2858379897703992</v>
      </c>
      <c r="Q6" s="2"/>
      <c r="R6" s="2"/>
    </row>
    <row r="7" spans="1:18">
      <c r="A7" s="3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>
      <c r="A8" s="7" t="s">
        <v>14</v>
      </c>
      <c r="B8" s="7" t="s">
        <v>15</v>
      </c>
      <c r="C8" s="7" t="s">
        <v>4</v>
      </c>
      <c r="D8" s="7" t="s">
        <v>16</v>
      </c>
      <c r="E8" s="7" t="s">
        <v>17</v>
      </c>
      <c r="F8" s="7" t="s">
        <v>18</v>
      </c>
      <c r="G8" s="7" t="s">
        <v>19</v>
      </c>
      <c r="H8" s="7" t="s">
        <v>20</v>
      </c>
      <c r="I8" s="7" t="s">
        <v>21</v>
      </c>
      <c r="J8" s="7" t="s">
        <v>22</v>
      </c>
      <c r="K8" s="7" t="s">
        <v>23</v>
      </c>
      <c r="L8" s="7" t="s">
        <v>24</v>
      </c>
      <c r="M8" s="7" t="s">
        <v>25</v>
      </c>
      <c r="N8" s="7" t="s">
        <v>26</v>
      </c>
      <c r="O8" s="7" t="s">
        <v>27</v>
      </c>
      <c r="P8" s="7" t="s">
        <v>28</v>
      </c>
      <c r="Q8" s="7" t="s">
        <v>29</v>
      </c>
      <c r="R8" s="7" t="s">
        <v>30</v>
      </c>
    </row>
    <row r="9" spans="1:18">
      <c r="A9" s="8">
        <f>RANK(D9,$D$9:$D$36)</f>
        <v>8</v>
      </c>
      <c r="B9" s="9" t="s">
        <v>31</v>
      </c>
      <c r="C9" s="9" t="s">
        <v>11</v>
      </c>
      <c r="D9" s="10">
        <f>H9/F9</f>
        <v>0.3015463917525773</v>
      </c>
      <c r="E9" s="11">
        <v>432</v>
      </c>
      <c r="F9" s="11">
        <v>388</v>
      </c>
      <c r="G9" s="11">
        <v>62</v>
      </c>
      <c r="H9" s="11">
        <v>117</v>
      </c>
      <c r="I9" s="11">
        <v>30</v>
      </c>
      <c r="J9" s="11">
        <v>1</v>
      </c>
      <c r="K9" s="11">
        <v>21</v>
      </c>
      <c r="L9" s="11">
        <f>H9*1+I9*1+J9*2+K9*3</f>
        <v>212</v>
      </c>
      <c r="M9" s="11">
        <v>62</v>
      </c>
      <c r="N9" s="11">
        <v>31</v>
      </c>
      <c r="O9" s="11">
        <v>11</v>
      </c>
      <c r="P9" s="11">
        <v>2</v>
      </c>
      <c r="Q9" s="10">
        <f>(H9+N9+O9)/(F9+N9+O9+P9)</f>
        <v>0.36805555555555558</v>
      </c>
      <c r="R9" s="10"/>
    </row>
    <row r="10" spans="1:18">
      <c r="A10" s="8">
        <f t="shared" ref="A10:A36" si="0">RANK(D10,$D$9:$D$36)</f>
        <v>7</v>
      </c>
      <c r="B10" s="9" t="s">
        <v>32</v>
      </c>
      <c r="C10" s="9" t="s">
        <v>33</v>
      </c>
      <c r="D10" s="10">
        <f t="shared" ref="D10:D36" si="1">H10/F10</f>
        <v>0.30504587155963303</v>
      </c>
      <c r="E10" s="11">
        <v>497</v>
      </c>
      <c r="F10" s="11">
        <v>436</v>
      </c>
      <c r="G10" s="11">
        <v>67</v>
      </c>
      <c r="H10" s="11">
        <v>133</v>
      </c>
      <c r="I10" s="11">
        <v>25</v>
      </c>
      <c r="J10" s="11">
        <v>5</v>
      </c>
      <c r="K10" s="11">
        <v>19</v>
      </c>
      <c r="L10" s="11">
        <f t="shared" ref="L10:L36" si="2">H10*1+I10*1+J10*2+K10*3</f>
        <v>225</v>
      </c>
      <c r="M10" s="11">
        <v>78</v>
      </c>
      <c r="N10" s="11">
        <v>52</v>
      </c>
      <c r="O10" s="11">
        <v>4</v>
      </c>
      <c r="P10" s="11">
        <v>5</v>
      </c>
      <c r="Q10" s="10">
        <f t="shared" ref="Q10:Q36" si="3">(H10+N10+O10)/(F10+N10+O10+P10)</f>
        <v>0.38028169014084506</v>
      </c>
      <c r="R10" s="10"/>
    </row>
    <row r="11" spans="1:18">
      <c r="A11" s="8">
        <f t="shared" si="0"/>
        <v>6</v>
      </c>
      <c r="B11" s="9" t="s">
        <v>34</v>
      </c>
      <c r="C11" s="9" t="s">
        <v>35</v>
      </c>
      <c r="D11" s="10">
        <f t="shared" si="1"/>
        <v>0.30864197530864196</v>
      </c>
      <c r="E11" s="11">
        <v>450</v>
      </c>
      <c r="F11" s="11">
        <v>405</v>
      </c>
      <c r="G11" s="11">
        <v>57</v>
      </c>
      <c r="H11" s="11">
        <v>125</v>
      </c>
      <c r="I11" s="11">
        <v>37</v>
      </c>
      <c r="J11" s="11">
        <v>4</v>
      </c>
      <c r="K11" s="11">
        <v>12</v>
      </c>
      <c r="L11" s="11">
        <f t="shared" si="2"/>
        <v>206</v>
      </c>
      <c r="M11" s="11">
        <v>55</v>
      </c>
      <c r="N11" s="11">
        <v>19</v>
      </c>
      <c r="O11" s="11">
        <v>6</v>
      </c>
      <c r="P11" s="11">
        <v>6</v>
      </c>
      <c r="Q11" s="10">
        <f t="shared" si="3"/>
        <v>0.34403669724770641</v>
      </c>
      <c r="R11" s="10"/>
    </row>
    <row r="12" spans="1:18">
      <c r="A12" s="8">
        <f t="shared" si="0"/>
        <v>24</v>
      </c>
      <c r="B12" s="9" t="s">
        <v>36</v>
      </c>
      <c r="C12" s="9" t="s">
        <v>37</v>
      </c>
      <c r="D12" s="10">
        <f t="shared" si="1"/>
        <v>0.25392670157068065</v>
      </c>
      <c r="E12" s="11">
        <v>433</v>
      </c>
      <c r="F12" s="11">
        <v>382</v>
      </c>
      <c r="G12" s="11">
        <v>45</v>
      </c>
      <c r="H12" s="11">
        <v>97</v>
      </c>
      <c r="I12" s="11">
        <v>21</v>
      </c>
      <c r="J12" s="11">
        <v>0</v>
      </c>
      <c r="K12" s="11">
        <v>20</v>
      </c>
      <c r="L12" s="11">
        <f t="shared" si="2"/>
        <v>178</v>
      </c>
      <c r="M12" s="11">
        <v>56</v>
      </c>
      <c r="N12" s="11">
        <v>42</v>
      </c>
      <c r="O12" s="11">
        <v>6</v>
      </c>
      <c r="P12" s="11">
        <v>3</v>
      </c>
      <c r="Q12" s="10">
        <f t="shared" si="3"/>
        <v>0.3348729792147806</v>
      </c>
      <c r="R12" s="10"/>
    </row>
    <row r="13" spans="1:18">
      <c r="A13" s="8">
        <f t="shared" si="0"/>
        <v>15</v>
      </c>
      <c r="B13" s="9" t="s">
        <v>38</v>
      </c>
      <c r="C13" s="9" t="s">
        <v>11</v>
      </c>
      <c r="D13" s="10">
        <f t="shared" si="1"/>
        <v>0.28952042628774421</v>
      </c>
      <c r="E13" s="11">
        <v>615</v>
      </c>
      <c r="F13" s="11">
        <v>563</v>
      </c>
      <c r="G13" s="11">
        <v>82</v>
      </c>
      <c r="H13" s="11">
        <v>163</v>
      </c>
      <c r="I13" s="11">
        <v>25</v>
      </c>
      <c r="J13" s="11">
        <v>6</v>
      </c>
      <c r="K13" s="11">
        <v>4</v>
      </c>
      <c r="L13" s="11">
        <f t="shared" si="2"/>
        <v>212</v>
      </c>
      <c r="M13" s="11">
        <v>45</v>
      </c>
      <c r="N13" s="11">
        <v>24</v>
      </c>
      <c r="O13" s="11">
        <v>7</v>
      </c>
      <c r="P13" s="11">
        <v>2</v>
      </c>
      <c r="Q13" s="10">
        <f t="shared" si="3"/>
        <v>0.32550335570469796</v>
      </c>
      <c r="R13" s="10"/>
    </row>
    <row r="14" spans="1:18">
      <c r="A14" s="8">
        <f t="shared" si="0"/>
        <v>3</v>
      </c>
      <c r="B14" s="9" t="s">
        <v>39</v>
      </c>
      <c r="C14" s="9" t="s">
        <v>37</v>
      </c>
      <c r="D14" s="10">
        <f t="shared" si="1"/>
        <v>0.32227488151658767</v>
      </c>
      <c r="E14" s="11">
        <v>454</v>
      </c>
      <c r="F14" s="11">
        <v>422</v>
      </c>
      <c r="G14" s="11">
        <v>55</v>
      </c>
      <c r="H14" s="11">
        <v>136</v>
      </c>
      <c r="I14" s="11">
        <v>16</v>
      </c>
      <c r="J14" s="11">
        <v>6</v>
      </c>
      <c r="K14" s="11">
        <v>1</v>
      </c>
      <c r="L14" s="11">
        <f t="shared" si="2"/>
        <v>167</v>
      </c>
      <c r="M14" s="11">
        <v>34</v>
      </c>
      <c r="N14" s="11">
        <v>15</v>
      </c>
      <c r="O14" s="11">
        <v>6</v>
      </c>
      <c r="P14" s="11">
        <v>5</v>
      </c>
      <c r="Q14" s="10">
        <f t="shared" si="3"/>
        <v>0.35044642857142855</v>
      </c>
      <c r="R14" s="10"/>
    </row>
    <row r="15" spans="1:18">
      <c r="A15" s="8">
        <f t="shared" si="0"/>
        <v>22</v>
      </c>
      <c r="B15" s="9" t="s">
        <v>40</v>
      </c>
      <c r="C15" s="9" t="s">
        <v>35</v>
      </c>
      <c r="D15" s="10">
        <f t="shared" si="1"/>
        <v>0.26267281105990781</v>
      </c>
      <c r="E15" s="11">
        <v>474</v>
      </c>
      <c r="F15" s="11">
        <v>434</v>
      </c>
      <c r="G15" s="11">
        <v>62</v>
      </c>
      <c r="H15" s="11">
        <v>114</v>
      </c>
      <c r="I15" s="11">
        <v>28</v>
      </c>
      <c r="J15" s="11">
        <v>2</v>
      </c>
      <c r="K15" s="11">
        <v>24</v>
      </c>
      <c r="L15" s="11">
        <f t="shared" si="2"/>
        <v>218</v>
      </c>
      <c r="M15" s="11">
        <v>90</v>
      </c>
      <c r="N15" s="11">
        <v>31</v>
      </c>
      <c r="O15" s="11">
        <v>4</v>
      </c>
      <c r="P15" s="11">
        <v>4</v>
      </c>
      <c r="Q15" s="10">
        <f t="shared" si="3"/>
        <v>0.31501057082452433</v>
      </c>
      <c r="R15" s="10"/>
    </row>
    <row r="16" spans="1:18">
      <c r="A16" s="8">
        <f t="shared" si="0"/>
        <v>18</v>
      </c>
      <c r="B16" s="9" t="s">
        <v>41</v>
      </c>
      <c r="C16" s="9" t="s">
        <v>42</v>
      </c>
      <c r="D16" s="10">
        <f t="shared" si="1"/>
        <v>0.27756653992395436</v>
      </c>
      <c r="E16" s="11">
        <v>571</v>
      </c>
      <c r="F16" s="11">
        <v>526</v>
      </c>
      <c r="G16" s="11">
        <v>65</v>
      </c>
      <c r="H16" s="11">
        <v>146</v>
      </c>
      <c r="I16" s="11">
        <v>15</v>
      </c>
      <c r="J16" s="11">
        <v>6</v>
      </c>
      <c r="K16" s="11">
        <v>2</v>
      </c>
      <c r="L16" s="11">
        <f t="shared" si="2"/>
        <v>179</v>
      </c>
      <c r="M16" s="11">
        <v>30</v>
      </c>
      <c r="N16" s="11">
        <v>23</v>
      </c>
      <c r="O16" s="11">
        <v>4</v>
      </c>
      <c r="P16" s="11">
        <v>4</v>
      </c>
      <c r="Q16" s="10">
        <f t="shared" si="3"/>
        <v>0.3105924596050269</v>
      </c>
      <c r="R16" s="10"/>
    </row>
    <row r="17" spans="1:18">
      <c r="A17" s="8">
        <f t="shared" si="0"/>
        <v>19</v>
      </c>
      <c r="B17" s="9" t="s">
        <v>43</v>
      </c>
      <c r="C17" s="9" t="s">
        <v>42</v>
      </c>
      <c r="D17" s="10">
        <f t="shared" si="1"/>
        <v>0.2774327122153209</v>
      </c>
      <c r="E17" s="11">
        <v>582</v>
      </c>
      <c r="F17" s="11">
        <v>483</v>
      </c>
      <c r="G17" s="11">
        <v>80</v>
      </c>
      <c r="H17" s="11">
        <v>134</v>
      </c>
      <c r="I17" s="11">
        <v>30</v>
      </c>
      <c r="J17" s="11">
        <v>1</v>
      </c>
      <c r="K17" s="11">
        <v>39</v>
      </c>
      <c r="L17" s="11">
        <f t="shared" si="2"/>
        <v>283</v>
      </c>
      <c r="M17" s="11">
        <v>114</v>
      </c>
      <c r="N17" s="11">
        <v>93</v>
      </c>
      <c r="O17" s="11">
        <v>3</v>
      </c>
      <c r="P17" s="11">
        <v>2</v>
      </c>
      <c r="Q17" s="10">
        <f t="shared" si="3"/>
        <v>0.39586919104991392</v>
      </c>
      <c r="R17" s="10"/>
    </row>
    <row r="18" spans="1:18">
      <c r="A18" s="8">
        <f t="shared" si="0"/>
        <v>27</v>
      </c>
      <c r="B18" s="9" t="s">
        <v>44</v>
      </c>
      <c r="C18" s="9" t="s">
        <v>11</v>
      </c>
      <c r="D18" s="10">
        <f t="shared" si="1"/>
        <v>0.23809523809523808</v>
      </c>
      <c r="E18" s="11">
        <v>511</v>
      </c>
      <c r="F18" s="11">
        <v>462</v>
      </c>
      <c r="G18" s="11">
        <v>59</v>
      </c>
      <c r="H18" s="11">
        <v>110</v>
      </c>
      <c r="I18" s="11">
        <v>19</v>
      </c>
      <c r="J18" s="11">
        <v>0</v>
      </c>
      <c r="K18" s="11">
        <v>27</v>
      </c>
      <c r="L18" s="11">
        <f t="shared" si="2"/>
        <v>210</v>
      </c>
      <c r="M18" s="11">
        <v>87</v>
      </c>
      <c r="N18" s="11">
        <v>30</v>
      </c>
      <c r="O18" s="11">
        <v>12</v>
      </c>
      <c r="P18" s="11">
        <v>7</v>
      </c>
      <c r="Q18" s="10">
        <f t="shared" si="3"/>
        <v>0.29745596868884538</v>
      </c>
      <c r="R18" s="10"/>
    </row>
    <row r="19" spans="1:18">
      <c r="A19" s="8">
        <f t="shared" si="0"/>
        <v>2</v>
      </c>
      <c r="B19" s="9" t="s">
        <v>45</v>
      </c>
      <c r="C19" s="9" t="s">
        <v>46</v>
      </c>
      <c r="D19" s="10">
        <f t="shared" si="1"/>
        <v>0.33333333333333331</v>
      </c>
      <c r="E19" s="11">
        <v>517</v>
      </c>
      <c r="F19" s="11">
        <v>483</v>
      </c>
      <c r="G19" s="11">
        <v>62</v>
      </c>
      <c r="H19" s="11">
        <v>161</v>
      </c>
      <c r="I19" s="11">
        <v>31</v>
      </c>
      <c r="J19" s="11">
        <v>2</v>
      </c>
      <c r="K19" s="11">
        <v>12</v>
      </c>
      <c r="L19" s="11">
        <f t="shared" si="2"/>
        <v>232</v>
      </c>
      <c r="M19" s="11">
        <v>71</v>
      </c>
      <c r="N19" s="11">
        <v>25</v>
      </c>
      <c r="O19" s="11">
        <v>3</v>
      </c>
      <c r="P19" s="11">
        <v>5</v>
      </c>
      <c r="Q19" s="10">
        <f t="shared" si="3"/>
        <v>0.36627906976744184</v>
      </c>
      <c r="R19" s="10"/>
    </row>
    <row r="20" spans="1:18">
      <c r="A20" s="8">
        <f t="shared" si="0"/>
        <v>13</v>
      </c>
      <c r="B20" s="9" t="s">
        <v>47</v>
      </c>
      <c r="C20" s="9" t="s">
        <v>46</v>
      </c>
      <c r="D20" s="10">
        <f t="shared" si="1"/>
        <v>0.29166666666666669</v>
      </c>
      <c r="E20" s="11">
        <v>422</v>
      </c>
      <c r="F20" s="11">
        <v>360</v>
      </c>
      <c r="G20" s="11">
        <v>44</v>
      </c>
      <c r="H20" s="11">
        <v>105</v>
      </c>
      <c r="I20" s="11">
        <v>19</v>
      </c>
      <c r="J20" s="11">
        <v>1</v>
      </c>
      <c r="K20" s="11">
        <v>4</v>
      </c>
      <c r="L20" s="11">
        <f t="shared" si="2"/>
        <v>138</v>
      </c>
      <c r="M20" s="11">
        <v>43</v>
      </c>
      <c r="N20" s="11">
        <v>28</v>
      </c>
      <c r="O20" s="11">
        <v>4</v>
      </c>
      <c r="P20" s="11">
        <v>0</v>
      </c>
      <c r="Q20" s="10">
        <f t="shared" si="3"/>
        <v>0.34948979591836737</v>
      </c>
      <c r="R20" s="10"/>
    </row>
    <row r="21" spans="1:18">
      <c r="A21" s="8">
        <f t="shared" si="0"/>
        <v>12</v>
      </c>
      <c r="B21" s="9" t="s">
        <v>48</v>
      </c>
      <c r="C21" s="9" t="s">
        <v>33</v>
      </c>
      <c r="D21" s="10">
        <f t="shared" si="1"/>
        <v>0.29230769230769232</v>
      </c>
      <c r="E21" s="11">
        <v>618</v>
      </c>
      <c r="F21" s="11">
        <v>520</v>
      </c>
      <c r="G21" s="11">
        <v>85</v>
      </c>
      <c r="H21" s="11">
        <v>152</v>
      </c>
      <c r="I21" s="11">
        <v>32</v>
      </c>
      <c r="J21" s="11">
        <v>8</v>
      </c>
      <c r="K21" s="11">
        <v>10</v>
      </c>
      <c r="L21" s="11">
        <f t="shared" si="2"/>
        <v>230</v>
      </c>
      <c r="M21" s="11">
        <v>60</v>
      </c>
      <c r="N21" s="11">
        <v>59</v>
      </c>
      <c r="O21" s="11">
        <v>11</v>
      </c>
      <c r="P21" s="11">
        <v>3</v>
      </c>
      <c r="Q21" s="10">
        <f t="shared" si="3"/>
        <v>0.37436762225969644</v>
      </c>
      <c r="R21" s="10"/>
    </row>
    <row r="22" spans="1:18">
      <c r="A22" s="8">
        <f t="shared" si="0"/>
        <v>21</v>
      </c>
      <c r="B22" s="9" t="s">
        <v>49</v>
      </c>
      <c r="C22" s="9" t="s">
        <v>46</v>
      </c>
      <c r="D22" s="10">
        <f t="shared" si="1"/>
        <v>0.27020202020202022</v>
      </c>
      <c r="E22" s="11">
        <v>448</v>
      </c>
      <c r="F22" s="11">
        <v>396</v>
      </c>
      <c r="G22" s="11">
        <v>46</v>
      </c>
      <c r="H22" s="11">
        <v>107</v>
      </c>
      <c r="I22" s="11">
        <v>26</v>
      </c>
      <c r="J22" s="11">
        <v>6</v>
      </c>
      <c r="K22" s="11">
        <v>5</v>
      </c>
      <c r="L22" s="11">
        <f t="shared" si="2"/>
        <v>160</v>
      </c>
      <c r="M22" s="11">
        <v>55</v>
      </c>
      <c r="N22" s="11">
        <v>35</v>
      </c>
      <c r="O22" s="11">
        <v>7</v>
      </c>
      <c r="P22" s="11">
        <v>2</v>
      </c>
      <c r="Q22" s="10">
        <f t="shared" si="3"/>
        <v>0.33863636363636362</v>
      </c>
      <c r="R22" s="10"/>
    </row>
    <row r="23" spans="1:18">
      <c r="A23" s="8">
        <f t="shared" si="0"/>
        <v>1</v>
      </c>
      <c r="B23" s="9" t="s">
        <v>50</v>
      </c>
      <c r="C23" s="9" t="s">
        <v>11</v>
      </c>
      <c r="D23" s="10">
        <f t="shared" si="1"/>
        <v>0.33405172413793105</v>
      </c>
      <c r="E23" s="11">
        <v>532</v>
      </c>
      <c r="F23" s="11">
        <v>464</v>
      </c>
      <c r="G23" s="11">
        <v>74</v>
      </c>
      <c r="H23" s="11">
        <v>155</v>
      </c>
      <c r="I23" s="11">
        <v>31</v>
      </c>
      <c r="J23" s="11">
        <v>0</v>
      </c>
      <c r="K23" s="11">
        <v>20</v>
      </c>
      <c r="L23" s="11">
        <f t="shared" si="2"/>
        <v>246</v>
      </c>
      <c r="M23" s="11">
        <v>77</v>
      </c>
      <c r="N23" s="11">
        <v>53</v>
      </c>
      <c r="O23" s="11">
        <v>12</v>
      </c>
      <c r="P23" s="11">
        <v>3</v>
      </c>
      <c r="Q23" s="10">
        <f t="shared" si="3"/>
        <v>0.41353383458646614</v>
      </c>
      <c r="R23" s="10"/>
    </row>
    <row r="24" spans="1:18">
      <c r="A24" s="8">
        <f t="shared" si="0"/>
        <v>26</v>
      </c>
      <c r="B24" s="9" t="s">
        <v>51</v>
      </c>
      <c r="C24" s="9" t="s">
        <v>11</v>
      </c>
      <c r="D24" s="10">
        <f t="shared" si="1"/>
        <v>0.24302788844621515</v>
      </c>
      <c r="E24" s="11">
        <v>568</v>
      </c>
      <c r="F24" s="11">
        <v>502</v>
      </c>
      <c r="G24" s="11">
        <v>88</v>
      </c>
      <c r="H24" s="11">
        <v>122</v>
      </c>
      <c r="I24" s="11">
        <v>23</v>
      </c>
      <c r="J24" s="11">
        <v>4</v>
      </c>
      <c r="K24" s="11">
        <v>44</v>
      </c>
      <c r="L24" s="11">
        <f t="shared" si="2"/>
        <v>285</v>
      </c>
      <c r="M24" s="11">
        <v>95</v>
      </c>
      <c r="N24" s="11">
        <v>53</v>
      </c>
      <c r="O24" s="11">
        <v>7</v>
      </c>
      <c r="P24" s="11">
        <v>3</v>
      </c>
      <c r="Q24" s="10">
        <f t="shared" si="3"/>
        <v>0.32212389380530976</v>
      </c>
      <c r="R24" s="10"/>
    </row>
    <row r="25" spans="1:18">
      <c r="A25" s="8">
        <f t="shared" si="0"/>
        <v>11</v>
      </c>
      <c r="B25" s="9" t="s">
        <v>52</v>
      </c>
      <c r="C25" s="9" t="s">
        <v>46</v>
      </c>
      <c r="D25" s="10">
        <f t="shared" si="1"/>
        <v>0.29563492063492064</v>
      </c>
      <c r="E25" s="11">
        <v>562</v>
      </c>
      <c r="F25" s="11">
        <v>504</v>
      </c>
      <c r="G25" s="11">
        <v>73</v>
      </c>
      <c r="H25" s="11">
        <v>149</v>
      </c>
      <c r="I25" s="11">
        <v>37</v>
      </c>
      <c r="J25" s="11">
        <v>0</v>
      </c>
      <c r="K25" s="11">
        <v>16</v>
      </c>
      <c r="L25" s="11">
        <f t="shared" si="2"/>
        <v>234</v>
      </c>
      <c r="M25" s="11">
        <v>93</v>
      </c>
      <c r="N25" s="11">
        <v>47</v>
      </c>
      <c r="O25" s="11">
        <v>6</v>
      </c>
      <c r="P25" s="11">
        <v>5</v>
      </c>
      <c r="Q25" s="10">
        <f t="shared" si="3"/>
        <v>0.35943060498220641</v>
      </c>
      <c r="R25" s="10"/>
    </row>
    <row r="26" spans="1:18">
      <c r="A26" s="8">
        <f t="shared" si="0"/>
        <v>9</v>
      </c>
      <c r="B26" s="9" t="s">
        <v>53</v>
      </c>
      <c r="C26" s="9" t="s">
        <v>35</v>
      </c>
      <c r="D26" s="10">
        <f t="shared" si="1"/>
        <v>0.30109890109890108</v>
      </c>
      <c r="E26" s="11">
        <v>504</v>
      </c>
      <c r="F26" s="11">
        <v>455</v>
      </c>
      <c r="G26" s="11">
        <v>76</v>
      </c>
      <c r="H26" s="11">
        <v>137</v>
      </c>
      <c r="I26" s="11">
        <v>26</v>
      </c>
      <c r="J26" s="11">
        <v>6</v>
      </c>
      <c r="K26" s="11">
        <v>13</v>
      </c>
      <c r="L26" s="11">
        <f t="shared" si="2"/>
        <v>214</v>
      </c>
      <c r="M26" s="11">
        <v>48</v>
      </c>
      <c r="N26" s="11">
        <v>36</v>
      </c>
      <c r="O26" s="11">
        <v>7</v>
      </c>
      <c r="P26" s="11">
        <v>2</v>
      </c>
      <c r="Q26" s="10">
        <f t="shared" si="3"/>
        <v>0.36</v>
      </c>
      <c r="R26" s="10"/>
    </row>
    <row r="27" spans="1:18">
      <c r="A27" s="8">
        <f t="shared" si="0"/>
        <v>20</v>
      </c>
      <c r="B27" s="9" t="s">
        <v>54</v>
      </c>
      <c r="C27" s="9" t="s">
        <v>42</v>
      </c>
      <c r="D27" s="10">
        <f t="shared" si="1"/>
        <v>0.27182044887780549</v>
      </c>
      <c r="E27" s="11">
        <v>457</v>
      </c>
      <c r="F27" s="11">
        <v>401</v>
      </c>
      <c r="G27" s="11">
        <v>43</v>
      </c>
      <c r="H27" s="11">
        <v>109</v>
      </c>
      <c r="I27" s="11">
        <v>26</v>
      </c>
      <c r="J27" s="11">
        <v>1</v>
      </c>
      <c r="K27" s="11">
        <v>12</v>
      </c>
      <c r="L27" s="11">
        <f t="shared" si="2"/>
        <v>173</v>
      </c>
      <c r="M27" s="11">
        <v>44</v>
      </c>
      <c r="N27" s="11">
        <v>28</v>
      </c>
      <c r="O27" s="11">
        <v>8</v>
      </c>
      <c r="P27" s="11">
        <v>3</v>
      </c>
      <c r="Q27" s="10">
        <f t="shared" si="3"/>
        <v>0.32954545454545453</v>
      </c>
      <c r="R27" s="10"/>
    </row>
    <row r="28" spans="1:18">
      <c r="A28" s="8">
        <f t="shared" si="0"/>
        <v>28</v>
      </c>
      <c r="B28" s="9" t="s">
        <v>55</v>
      </c>
      <c r="C28" s="9" t="s">
        <v>11</v>
      </c>
      <c r="D28" s="10">
        <f t="shared" si="1"/>
        <v>0.23096446700507614</v>
      </c>
      <c r="E28" s="11">
        <v>434</v>
      </c>
      <c r="F28" s="11">
        <v>394</v>
      </c>
      <c r="G28" s="11">
        <v>40</v>
      </c>
      <c r="H28" s="11">
        <v>91</v>
      </c>
      <c r="I28" s="11">
        <v>20</v>
      </c>
      <c r="J28" s="11">
        <v>1</v>
      </c>
      <c r="K28" s="11">
        <v>15</v>
      </c>
      <c r="L28" s="11">
        <f t="shared" si="2"/>
        <v>158</v>
      </c>
      <c r="M28" s="11">
        <v>57</v>
      </c>
      <c r="N28" s="11">
        <v>10</v>
      </c>
      <c r="O28" s="11">
        <v>3</v>
      </c>
      <c r="P28" s="11">
        <v>3</v>
      </c>
      <c r="Q28" s="10">
        <f t="shared" si="3"/>
        <v>0.25365853658536586</v>
      </c>
      <c r="R28" s="10"/>
    </row>
    <row r="29" spans="1:18">
      <c r="A29" s="8">
        <f t="shared" si="0"/>
        <v>14</v>
      </c>
      <c r="B29" s="9" t="s">
        <v>56</v>
      </c>
      <c r="C29" s="9" t="s">
        <v>37</v>
      </c>
      <c r="D29" s="10">
        <f t="shared" si="1"/>
        <v>0.29074889867841408</v>
      </c>
      <c r="E29" s="11">
        <v>489</v>
      </c>
      <c r="F29" s="11">
        <v>454</v>
      </c>
      <c r="G29" s="11">
        <v>53</v>
      </c>
      <c r="H29" s="11">
        <v>132</v>
      </c>
      <c r="I29" s="11">
        <v>14</v>
      </c>
      <c r="J29" s="11">
        <v>3</v>
      </c>
      <c r="K29" s="11">
        <v>3</v>
      </c>
      <c r="L29" s="11">
        <f t="shared" si="2"/>
        <v>161</v>
      </c>
      <c r="M29" s="11">
        <v>38</v>
      </c>
      <c r="N29" s="11">
        <v>23</v>
      </c>
      <c r="O29" s="11">
        <v>2</v>
      </c>
      <c r="P29" s="11">
        <v>4</v>
      </c>
      <c r="Q29" s="10">
        <f t="shared" si="3"/>
        <v>0.32505175983436851</v>
      </c>
      <c r="R29" s="10"/>
    </row>
    <row r="30" spans="1:18">
      <c r="A30" s="8">
        <f t="shared" si="0"/>
        <v>17</v>
      </c>
      <c r="B30" s="9" t="s">
        <v>57</v>
      </c>
      <c r="C30" s="9" t="s">
        <v>37</v>
      </c>
      <c r="D30" s="10">
        <f t="shared" si="1"/>
        <v>0.28155339805825241</v>
      </c>
      <c r="E30" s="11">
        <v>558</v>
      </c>
      <c r="F30" s="11">
        <v>515</v>
      </c>
      <c r="G30" s="11">
        <v>64</v>
      </c>
      <c r="H30" s="11">
        <v>145</v>
      </c>
      <c r="I30" s="11">
        <v>33</v>
      </c>
      <c r="J30" s="11">
        <v>10</v>
      </c>
      <c r="K30" s="11">
        <v>15</v>
      </c>
      <c r="L30" s="11">
        <f t="shared" si="2"/>
        <v>243</v>
      </c>
      <c r="M30" s="11">
        <v>60</v>
      </c>
      <c r="N30" s="11">
        <v>27</v>
      </c>
      <c r="O30" s="11">
        <v>7</v>
      </c>
      <c r="P30" s="11">
        <v>1</v>
      </c>
      <c r="Q30" s="10">
        <f t="shared" si="3"/>
        <v>0.32545454545454544</v>
      </c>
      <c r="R30" s="10"/>
    </row>
    <row r="31" spans="1:18">
      <c r="A31" s="8">
        <f t="shared" si="0"/>
        <v>10</v>
      </c>
      <c r="B31" s="9" t="s">
        <v>58</v>
      </c>
      <c r="C31" s="9" t="s">
        <v>37</v>
      </c>
      <c r="D31" s="10">
        <f t="shared" si="1"/>
        <v>0.29666011787819252</v>
      </c>
      <c r="E31" s="11">
        <v>595</v>
      </c>
      <c r="F31" s="11">
        <v>509</v>
      </c>
      <c r="G31" s="11">
        <v>76</v>
      </c>
      <c r="H31" s="11">
        <v>151</v>
      </c>
      <c r="I31" s="11">
        <v>27</v>
      </c>
      <c r="J31" s="11">
        <v>2</v>
      </c>
      <c r="K31" s="11">
        <v>24</v>
      </c>
      <c r="L31" s="11">
        <f t="shared" si="2"/>
        <v>254</v>
      </c>
      <c r="M31" s="11">
        <v>89</v>
      </c>
      <c r="N31" s="11">
        <v>70</v>
      </c>
      <c r="O31" s="11">
        <v>7</v>
      </c>
      <c r="P31" s="11">
        <v>8</v>
      </c>
      <c r="Q31" s="10">
        <f t="shared" si="3"/>
        <v>0.38383838383838381</v>
      </c>
      <c r="R31" s="10"/>
    </row>
    <row r="32" spans="1:18">
      <c r="A32" s="8">
        <f t="shared" si="0"/>
        <v>25</v>
      </c>
      <c r="B32" s="9" t="s">
        <v>59</v>
      </c>
      <c r="C32" s="9" t="s">
        <v>33</v>
      </c>
      <c r="D32" s="10">
        <f t="shared" si="1"/>
        <v>0.25324675324675322</v>
      </c>
      <c r="E32" s="11">
        <v>530</v>
      </c>
      <c r="F32" s="11">
        <v>462</v>
      </c>
      <c r="G32" s="11">
        <v>64</v>
      </c>
      <c r="H32" s="11">
        <v>117</v>
      </c>
      <c r="I32" s="11">
        <v>15</v>
      </c>
      <c r="J32" s="11">
        <v>1</v>
      </c>
      <c r="K32" s="11">
        <v>0</v>
      </c>
      <c r="L32" s="11">
        <f t="shared" si="2"/>
        <v>134</v>
      </c>
      <c r="M32" s="11">
        <v>20</v>
      </c>
      <c r="N32" s="11">
        <v>49</v>
      </c>
      <c r="O32" s="11">
        <v>4</v>
      </c>
      <c r="P32" s="11">
        <v>1</v>
      </c>
      <c r="Q32" s="10">
        <f t="shared" si="3"/>
        <v>0.32945736434108525</v>
      </c>
      <c r="R32" s="10"/>
    </row>
    <row r="33" spans="1:18">
      <c r="A33" s="8">
        <f t="shared" si="0"/>
        <v>16</v>
      </c>
      <c r="B33" s="9" t="s">
        <v>60</v>
      </c>
      <c r="C33" s="9" t="s">
        <v>46</v>
      </c>
      <c r="D33" s="10">
        <f t="shared" si="1"/>
        <v>0.28205128205128205</v>
      </c>
      <c r="E33" s="11">
        <v>541</v>
      </c>
      <c r="F33" s="11">
        <v>468</v>
      </c>
      <c r="G33" s="11">
        <v>57</v>
      </c>
      <c r="H33" s="11">
        <v>132</v>
      </c>
      <c r="I33" s="11">
        <v>21</v>
      </c>
      <c r="J33" s="11">
        <v>0</v>
      </c>
      <c r="K33" s="11">
        <v>22</v>
      </c>
      <c r="L33" s="11">
        <f t="shared" si="2"/>
        <v>219</v>
      </c>
      <c r="M33" s="11">
        <v>72</v>
      </c>
      <c r="N33" s="11">
        <v>67</v>
      </c>
      <c r="O33" s="11">
        <v>5</v>
      </c>
      <c r="P33" s="11">
        <v>1</v>
      </c>
      <c r="Q33" s="10">
        <f t="shared" si="3"/>
        <v>0.37707948243992606</v>
      </c>
      <c r="R33" s="10"/>
    </row>
    <row r="34" spans="1:18">
      <c r="A34" s="8">
        <f t="shared" si="0"/>
        <v>5</v>
      </c>
      <c r="B34" s="9" t="s">
        <v>61</v>
      </c>
      <c r="C34" s="9" t="s">
        <v>11</v>
      </c>
      <c r="D34" s="10">
        <f t="shared" si="1"/>
        <v>0.31372549019607843</v>
      </c>
      <c r="E34" s="11">
        <v>593</v>
      </c>
      <c r="F34" s="11">
        <v>510</v>
      </c>
      <c r="G34" s="11">
        <v>71</v>
      </c>
      <c r="H34" s="11">
        <v>160</v>
      </c>
      <c r="I34" s="11">
        <v>31</v>
      </c>
      <c r="J34" s="11">
        <v>3</v>
      </c>
      <c r="K34" s="11">
        <v>9</v>
      </c>
      <c r="L34" s="11">
        <f t="shared" si="2"/>
        <v>224</v>
      </c>
      <c r="M34" s="11">
        <v>67</v>
      </c>
      <c r="N34" s="11">
        <v>47</v>
      </c>
      <c r="O34" s="11">
        <v>6</v>
      </c>
      <c r="P34" s="11">
        <v>8</v>
      </c>
      <c r="Q34" s="10">
        <f t="shared" si="3"/>
        <v>0.37302977232924694</v>
      </c>
      <c r="R34" s="10"/>
    </row>
    <row r="35" spans="1:18">
      <c r="A35" s="8">
        <f t="shared" si="0"/>
        <v>4</v>
      </c>
      <c r="B35" s="9" t="s">
        <v>62</v>
      </c>
      <c r="C35" s="9" t="s">
        <v>42</v>
      </c>
      <c r="D35" s="10">
        <f t="shared" si="1"/>
        <v>0.31653225806451613</v>
      </c>
      <c r="E35" s="11">
        <v>564</v>
      </c>
      <c r="F35" s="11">
        <v>496</v>
      </c>
      <c r="G35" s="11">
        <v>87</v>
      </c>
      <c r="H35" s="11">
        <v>157</v>
      </c>
      <c r="I35" s="11">
        <v>28</v>
      </c>
      <c r="J35" s="11">
        <v>2</v>
      </c>
      <c r="K35" s="11">
        <v>35</v>
      </c>
      <c r="L35" s="11">
        <f t="shared" si="2"/>
        <v>294</v>
      </c>
      <c r="M35" s="11">
        <v>100</v>
      </c>
      <c r="N35" s="11">
        <v>58</v>
      </c>
      <c r="O35" s="11">
        <v>6</v>
      </c>
      <c r="P35" s="11">
        <v>4</v>
      </c>
      <c r="Q35" s="10">
        <f t="shared" si="3"/>
        <v>0.39184397163120566</v>
      </c>
      <c r="R35" s="10"/>
    </row>
    <row r="36" spans="1:18">
      <c r="A36" s="8">
        <f t="shared" si="0"/>
        <v>23</v>
      </c>
      <c r="B36" s="9" t="s">
        <v>63</v>
      </c>
      <c r="C36" s="9" t="s">
        <v>46</v>
      </c>
      <c r="D36" s="10">
        <f t="shared" si="1"/>
        <v>0.25503355704697989</v>
      </c>
      <c r="E36" s="11">
        <v>540</v>
      </c>
      <c r="F36" s="11">
        <v>447</v>
      </c>
      <c r="G36" s="11">
        <v>76</v>
      </c>
      <c r="H36" s="11">
        <v>114</v>
      </c>
      <c r="I36" s="11">
        <v>10</v>
      </c>
      <c r="J36" s="11">
        <v>2</v>
      </c>
      <c r="K36" s="11">
        <v>0</v>
      </c>
      <c r="L36" s="11">
        <f t="shared" si="2"/>
        <v>128</v>
      </c>
      <c r="M36" s="11">
        <v>30</v>
      </c>
      <c r="N36" s="11">
        <v>52</v>
      </c>
      <c r="O36" s="11">
        <v>22</v>
      </c>
      <c r="P36" s="11">
        <v>2</v>
      </c>
      <c r="Q36" s="10">
        <f t="shared" si="3"/>
        <v>0.35946462715105165</v>
      </c>
      <c r="R36" s="10"/>
    </row>
  </sheetData>
  <mergeCells count="7">
    <mergeCell ref="P3:P4"/>
    <mergeCell ref="K5:L5"/>
    <mergeCell ref="K6:L6"/>
    <mergeCell ref="K3:L4"/>
    <mergeCell ref="M3:M4"/>
    <mergeCell ref="N3:N4"/>
    <mergeCell ref="O3:O4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B20" sqref="B20"/>
    </sheetView>
  </sheetViews>
  <sheetFormatPr defaultRowHeight="13.5"/>
  <cols>
    <col min="2" max="2" width="15.375" customWidth="1"/>
    <col min="10" max="10" width="15.75" customWidth="1"/>
  </cols>
  <sheetData>
    <row r="1" spans="1:12" ht="17.25">
      <c r="A1" s="12" t="s">
        <v>64</v>
      </c>
    </row>
    <row r="2" spans="1:12" ht="14.25" thickBot="1"/>
    <row r="3" spans="1:12" ht="19.5" thickBot="1">
      <c r="A3" s="13" t="s">
        <v>65</v>
      </c>
      <c r="B3" s="14">
        <f>SUM(G7:G11)</f>
        <v>398426</v>
      </c>
    </row>
    <row r="4" spans="1:12">
      <c r="F4" s="15" t="s">
        <v>66</v>
      </c>
      <c r="G4" s="16">
        <v>0.05</v>
      </c>
    </row>
    <row r="5" spans="1:12">
      <c r="A5" t="s">
        <v>67</v>
      </c>
      <c r="I5" t="s">
        <v>68</v>
      </c>
    </row>
    <row r="6" spans="1:12">
      <c r="A6" s="17" t="s">
        <v>69</v>
      </c>
      <c r="B6" s="17" t="s">
        <v>70</v>
      </c>
      <c r="C6" s="17" t="s">
        <v>71</v>
      </c>
      <c r="D6" s="17" t="s">
        <v>72</v>
      </c>
      <c r="E6" s="17" t="s">
        <v>73</v>
      </c>
      <c r="F6" s="17" t="s">
        <v>74</v>
      </c>
      <c r="G6" s="17" t="s">
        <v>75</v>
      </c>
      <c r="I6" s="18" t="s">
        <v>69</v>
      </c>
      <c r="J6" s="18" t="s">
        <v>70</v>
      </c>
      <c r="K6" s="18" t="s">
        <v>71</v>
      </c>
      <c r="L6" s="18" t="s">
        <v>72</v>
      </c>
    </row>
    <row r="7" spans="1:12">
      <c r="A7" s="19" t="s">
        <v>76</v>
      </c>
      <c r="B7" s="19" t="str">
        <f>VLOOKUP(A7,$I$7:$L$20,2)</f>
        <v>プラズマテレビ</v>
      </c>
      <c r="C7" s="20">
        <f>VLOOKUP(A7,$I$7:$L$20,3)</f>
        <v>166500</v>
      </c>
      <c r="D7" s="21">
        <f>VLOOKUP(A7,$I$7:$L$20,4)</f>
        <v>0.08</v>
      </c>
      <c r="E7" s="20">
        <f>C7*(1-D7)</f>
        <v>153180</v>
      </c>
      <c r="F7" s="20">
        <f>ROUNDDOWN(E7*$G$4,0)</f>
        <v>7659</v>
      </c>
      <c r="G7" s="22">
        <f>E7+F7</f>
        <v>160839</v>
      </c>
      <c r="I7" s="23" t="s">
        <v>77</v>
      </c>
      <c r="J7" s="23" t="s">
        <v>78</v>
      </c>
      <c r="K7" s="24">
        <v>228000</v>
      </c>
      <c r="L7" s="25">
        <v>7.0000000000000007E-2</v>
      </c>
    </row>
    <row r="8" spans="1:12">
      <c r="A8" s="19" t="s">
        <v>79</v>
      </c>
      <c r="B8" s="19" t="str">
        <f t="shared" ref="B8:B11" si="0">VLOOKUP(A8,$I$7:$L$20,2)</f>
        <v>オーブンレンジ</v>
      </c>
      <c r="C8" s="20">
        <f t="shared" ref="C8:C11" si="1">VLOOKUP(A8,$I$7:$L$20,3)</f>
        <v>13000</v>
      </c>
      <c r="D8" s="21">
        <f t="shared" ref="D8:D11" si="2">VLOOKUP(A8,$I$7:$L$20,4)</f>
        <v>0.1</v>
      </c>
      <c r="E8" s="20">
        <f t="shared" ref="E8:E11" si="3">C8*(1-D8)</f>
        <v>11700</v>
      </c>
      <c r="F8" s="20">
        <f t="shared" ref="F8:F11" si="4">ROUNDDOWN(E8*$G$4,0)</f>
        <v>585</v>
      </c>
      <c r="G8" s="22">
        <f t="shared" ref="G8:G11" si="5">E8+F8</f>
        <v>12285</v>
      </c>
      <c r="I8" s="23" t="s">
        <v>80</v>
      </c>
      <c r="J8" s="23" t="s">
        <v>78</v>
      </c>
      <c r="K8" s="24">
        <v>224800</v>
      </c>
      <c r="L8" s="25">
        <v>7.0000000000000007E-2</v>
      </c>
    </row>
    <row r="9" spans="1:12">
      <c r="A9" s="19" t="s">
        <v>81</v>
      </c>
      <c r="B9" s="19" t="str">
        <f t="shared" si="0"/>
        <v>ノートパソコン</v>
      </c>
      <c r="C9" s="20">
        <f t="shared" si="1"/>
        <v>142000</v>
      </c>
      <c r="D9" s="21">
        <f t="shared" si="2"/>
        <v>0.05</v>
      </c>
      <c r="E9" s="20">
        <f t="shared" si="3"/>
        <v>134900</v>
      </c>
      <c r="F9" s="20">
        <f t="shared" si="4"/>
        <v>6745</v>
      </c>
      <c r="G9" s="22">
        <f t="shared" si="5"/>
        <v>141645</v>
      </c>
      <c r="I9" s="23" t="s">
        <v>82</v>
      </c>
      <c r="J9" s="23" t="s">
        <v>83</v>
      </c>
      <c r="K9" s="24">
        <v>13800</v>
      </c>
      <c r="L9" s="25">
        <v>0.1</v>
      </c>
    </row>
    <row r="10" spans="1:12">
      <c r="A10" s="19" t="s">
        <v>84</v>
      </c>
      <c r="B10" s="19" t="str">
        <f t="shared" si="0"/>
        <v>冷蔵庫</v>
      </c>
      <c r="C10" s="20">
        <f t="shared" si="1"/>
        <v>59800</v>
      </c>
      <c r="D10" s="21">
        <f t="shared" si="2"/>
        <v>0.1</v>
      </c>
      <c r="E10" s="20">
        <f t="shared" si="3"/>
        <v>53820</v>
      </c>
      <c r="F10" s="20">
        <f t="shared" si="4"/>
        <v>2691</v>
      </c>
      <c r="G10" s="22">
        <f t="shared" si="5"/>
        <v>56511</v>
      </c>
      <c r="I10" s="23" t="s">
        <v>79</v>
      </c>
      <c r="J10" s="23" t="s">
        <v>83</v>
      </c>
      <c r="K10" s="24">
        <v>13000</v>
      </c>
      <c r="L10" s="25">
        <v>0.1</v>
      </c>
    </row>
    <row r="11" spans="1:12">
      <c r="A11" s="19" t="s">
        <v>85</v>
      </c>
      <c r="B11" s="19" t="str">
        <f t="shared" si="0"/>
        <v>乾燥機能付洗濯機</v>
      </c>
      <c r="C11" s="20">
        <f t="shared" si="1"/>
        <v>27800</v>
      </c>
      <c r="D11" s="21">
        <f t="shared" si="2"/>
        <v>7.0000000000000007E-2</v>
      </c>
      <c r="E11" s="20">
        <f t="shared" si="3"/>
        <v>25854</v>
      </c>
      <c r="F11" s="20">
        <f t="shared" si="4"/>
        <v>1292</v>
      </c>
      <c r="G11" s="22">
        <f t="shared" si="5"/>
        <v>27146</v>
      </c>
      <c r="I11" s="23" t="s">
        <v>86</v>
      </c>
      <c r="J11" s="23" t="s">
        <v>87</v>
      </c>
      <c r="K11" s="24">
        <v>129000</v>
      </c>
      <c r="L11" s="25">
        <v>0.05</v>
      </c>
    </row>
    <row r="12" spans="1:12">
      <c r="I12" s="23" t="s">
        <v>81</v>
      </c>
      <c r="J12" s="23" t="s">
        <v>87</v>
      </c>
      <c r="K12" s="24">
        <v>142000</v>
      </c>
      <c r="L12" s="25">
        <v>0.05</v>
      </c>
    </row>
    <row r="13" spans="1:12">
      <c r="I13" s="23" t="s">
        <v>88</v>
      </c>
      <c r="J13" s="23" t="s">
        <v>89</v>
      </c>
      <c r="K13" s="24">
        <v>147600</v>
      </c>
      <c r="L13" s="25">
        <v>0.08</v>
      </c>
    </row>
    <row r="14" spans="1:12">
      <c r="I14" s="23" t="s">
        <v>76</v>
      </c>
      <c r="J14" s="23" t="s">
        <v>89</v>
      </c>
      <c r="K14" s="24">
        <v>166500</v>
      </c>
      <c r="L14" s="25">
        <v>0.08</v>
      </c>
    </row>
    <row r="15" spans="1:12">
      <c r="I15" s="23" t="s">
        <v>90</v>
      </c>
      <c r="J15" s="23" t="s">
        <v>91</v>
      </c>
      <c r="K15" s="24">
        <v>48100</v>
      </c>
      <c r="L15" s="25">
        <v>0.1</v>
      </c>
    </row>
    <row r="16" spans="1:12">
      <c r="I16" s="23" t="s">
        <v>84</v>
      </c>
      <c r="J16" s="23" t="s">
        <v>91</v>
      </c>
      <c r="K16" s="24">
        <v>59800</v>
      </c>
      <c r="L16" s="25">
        <v>0.1</v>
      </c>
    </row>
    <row r="17" spans="9:12">
      <c r="I17" s="23" t="s">
        <v>92</v>
      </c>
      <c r="J17" s="23" t="s">
        <v>93</v>
      </c>
      <c r="K17" s="24">
        <v>25800</v>
      </c>
      <c r="L17" s="25">
        <v>7.0000000000000007E-2</v>
      </c>
    </row>
    <row r="18" spans="9:12">
      <c r="I18" s="23" t="s">
        <v>94</v>
      </c>
      <c r="J18" s="23" t="s">
        <v>93</v>
      </c>
      <c r="K18" s="24">
        <v>28800</v>
      </c>
      <c r="L18" s="25">
        <v>7.0000000000000007E-2</v>
      </c>
    </row>
    <row r="19" spans="9:12">
      <c r="I19" s="23" t="s">
        <v>85</v>
      </c>
      <c r="J19" s="23" t="s">
        <v>95</v>
      </c>
      <c r="K19" s="24">
        <v>27800</v>
      </c>
      <c r="L19" s="25">
        <v>7.0000000000000007E-2</v>
      </c>
    </row>
    <row r="20" spans="9:12">
      <c r="I20" s="23" t="s">
        <v>96</v>
      </c>
      <c r="J20" s="23" t="s">
        <v>93</v>
      </c>
      <c r="K20" s="24">
        <v>28800</v>
      </c>
      <c r="L20" s="25">
        <v>7.0000000000000007E-2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0"/>
  <sheetViews>
    <sheetView topLeftCell="B1" workbookViewId="0">
      <selection activeCell="E17" sqref="E17"/>
    </sheetView>
  </sheetViews>
  <sheetFormatPr defaultRowHeight="13.5"/>
  <cols>
    <col min="1" max="1" width="7.875" customWidth="1"/>
    <col min="2" max="2" width="13.5" customWidth="1"/>
    <col min="10" max="10" width="12.75" customWidth="1"/>
  </cols>
  <sheetData>
    <row r="1" spans="1:12" ht="17.25">
      <c r="A1" s="12" t="s">
        <v>64</v>
      </c>
    </row>
    <row r="2" spans="1:12" ht="14.25" thickBot="1"/>
    <row r="3" spans="1:12" ht="19.5" thickBot="1">
      <c r="A3" s="13" t="s">
        <v>65</v>
      </c>
      <c r="B3" s="14">
        <f>IF(A7="","",SUM(G7:G11))</f>
        <v>314769</v>
      </c>
    </row>
    <row r="4" spans="1:12">
      <c r="F4" s="15" t="s">
        <v>66</v>
      </c>
      <c r="G4" s="16">
        <v>0.05</v>
      </c>
    </row>
    <row r="5" spans="1:12">
      <c r="A5" t="s">
        <v>67</v>
      </c>
      <c r="I5" t="s">
        <v>68</v>
      </c>
    </row>
    <row r="6" spans="1:12">
      <c r="A6" s="17" t="s">
        <v>69</v>
      </c>
      <c r="B6" s="17" t="s">
        <v>70</v>
      </c>
      <c r="C6" s="17" t="s">
        <v>71</v>
      </c>
      <c r="D6" s="17" t="s">
        <v>72</v>
      </c>
      <c r="E6" s="17" t="s">
        <v>73</v>
      </c>
      <c r="F6" s="17" t="s">
        <v>74</v>
      </c>
      <c r="G6" s="17" t="s">
        <v>75</v>
      </c>
      <c r="I6" s="18" t="s">
        <v>69</v>
      </c>
      <c r="J6" s="18" t="s">
        <v>70</v>
      </c>
      <c r="K6" s="18" t="s">
        <v>71</v>
      </c>
      <c r="L6" s="18" t="s">
        <v>72</v>
      </c>
    </row>
    <row r="7" spans="1:12">
      <c r="A7" s="19" t="s">
        <v>76</v>
      </c>
      <c r="B7" s="19" t="str">
        <f>IF(A7="","",VLOOKUP(A7,$I$7:$L$20,2))</f>
        <v>プラズマテレビ</v>
      </c>
      <c r="C7" s="20">
        <f>IF(A7="","",VLOOKUP(A7,$I$7:$L$20,3))</f>
        <v>166500</v>
      </c>
      <c r="D7" s="21">
        <f>IF(A7="","",VLOOKUP(A7,$I$7:$L$20,4))</f>
        <v>0.08</v>
      </c>
      <c r="E7" s="20">
        <f>IF(A7="","",C7*(1-D7))</f>
        <v>153180</v>
      </c>
      <c r="F7" s="20">
        <f>IF(A7="","",ROUNDDOWN(E7*$G$4,0))</f>
        <v>7659</v>
      </c>
      <c r="G7" s="22">
        <f>IF(A7="","",E7+F7)</f>
        <v>160839</v>
      </c>
      <c r="I7" s="23" t="s">
        <v>116</v>
      </c>
      <c r="J7" s="23" t="s">
        <v>78</v>
      </c>
      <c r="K7" s="24">
        <v>228000</v>
      </c>
      <c r="L7" s="25">
        <v>7.0000000000000007E-2</v>
      </c>
    </row>
    <row r="8" spans="1:12">
      <c r="A8" s="19" t="s">
        <v>79</v>
      </c>
      <c r="B8" s="19" t="str">
        <f t="shared" ref="B8:B11" si="0">IF(A8="","",VLOOKUP(A8,$I$7:$L$20,2))</f>
        <v>オーブンレンジ</v>
      </c>
      <c r="C8" s="20">
        <f t="shared" ref="C8:C11" si="1">IF(A8="","",VLOOKUP(A8,$I$7:$L$20,3))</f>
        <v>13000</v>
      </c>
      <c r="D8" s="21">
        <f t="shared" ref="D8:D11" si="2">IF(A8="","",VLOOKUP(A8,$I$7:$L$20,4))</f>
        <v>0.1</v>
      </c>
      <c r="E8" s="20">
        <f t="shared" ref="E8:E11" si="3">IF(A8="","",C8*(1-D8))</f>
        <v>11700</v>
      </c>
      <c r="F8" s="20">
        <f t="shared" ref="F8:F11" si="4">IF(A8="","",ROUNDDOWN(E8*$G$4,0))</f>
        <v>585</v>
      </c>
      <c r="G8" s="22">
        <f t="shared" ref="G8:G11" si="5">IF(A8="","",E8+F8)</f>
        <v>12285</v>
      </c>
      <c r="I8" s="23" t="s">
        <v>80</v>
      </c>
      <c r="J8" s="23" t="s">
        <v>78</v>
      </c>
      <c r="K8" s="24">
        <v>224800</v>
      </c>
      <c r="L8" s="25">
        <v>7.0000000000000007E-2</v>
      </c>
    </row>
    <row r="9" spans="1:12">
      <c r="A9" s="19" t="s">
        <v>117</v>
      </c>
      <c r="B9" s="19" t="str">
        <f t="shared" si="0"/>
        <v>ノートパソコン</v>
      </c>
      <c r="C9" s="20">
        <f t="shared" si="1"/>
        <v>142000</v>
      </c>
      <c r="D9" s="21">
        <f t="shared" si="2"/>
        <v>0.05</v>
      </c>
      <c r="E9" s="20">
        <f t="shared" si="3"/>
        <v>134900</v>
      </c>
      <c r="F9" s="20">
        <f t="shared" si="4"/>
        <v>6745</v>
      </c>
      <c r="G9" s="22">
        <f t="shared" si="5"/>
        <v>141645</v>
      </c>
      <c r="I9" s="23" t="s">
        <v>82</v>
      </c>
      <c r="J9" s="23" t="s">
        <v>118</v>
      </c>
      <c r="K9" s="24">
        <v>13800</v>
      </c>
      <c r="L9" s="25">
        <v>0.1</v>
      </c>
    </row>
    <row r="10" spans="1:12">
      <c r="A10" s="19"/>
      <c r="B10" s="19" t="str">
        <f t="shared" si="0"/>
        <v/>
      </c>
      <c r="C10" s="20" t="str">
        <f t="shared" si="1"/>
        <v/>
      </c>
      <c r="D10" s="21" t="str">
        <f t="shared" si="2"/>
        <v/>
      </c>
      <c r="E10" s="20" t="str">
        <f t="shared" si="3"/>
        <v/>
      </c>
      <c r="F10" s="20" t="str">
        <f t="shared" si="4"/>
        <v/>
      </c>
      <c r="G10" s="22" t="str">
        <f t="shared" si="5"/>
        <v/>
      </c>
      <c r="I10" s="23" t="s">
        <v>79</v>
      </c>
      <c r="J10" s="23" t="s">
        <v>118</v>
      </c>
      <c r="K10" s="24">
        <v>13000</v>
      </c>
      <c r="L10" s="25">
        <v>0.1</v>
      </c>
    </row>
    <row r="11" spans="1:12">
      <c r="A11" s="19"/>
      <c r="B11" s="19" t="str">
        <f t="shared" si="0"/>
        <v/>
      </c>
      <c r="C11" s="20" t="str">
        <f t="shared" si="1"/>
        <v/>
      </c>
      <c r="D11" s="21" t="str">
        <f t="shared" si="2"/>
        <v/>
      </c>
      <c r="E11" s="20" t="str">
        <f t="shared" si="3"/>
        <v/>
      </c>
      <c r="F11" s="20" t="str">
        <f t="shared" si="4"/>
        <v/>
      </c>
      <c r="G11" s="22" t="str">
        <f t="shared" si="5"/>
        <v/>
      </c>
      <c r="I11" s="23" t="s">
        <v>86</v>
      </c>
      <c r="J11" s="23" t="s">
        <v>87</v>
      </c>
      <c r="K11" s="24">
        <v>129000</v>
      </c>
      <c r="L11" s="25">
        <v>0.05</v>
      </c>
    </row>
    <row r="12" spans="1:12">
      <c r="I12" s="23" t="s">
        <v>117</v>
      </c>
      <c r="J12" s="23" t="s">
        <v>87</v>
      </c>
      <c r="K12" s="24">
        <v>142000</v>
      </c>
      <c r="L12" s="25">
        <v>0.05</v>
      </c>
    </row>
    <row r="13" spans="1:12">
      <c r="I13" s="23" t="s">
        <v>88</v>
      </c>
      <c r="J13" s="23" t="s">
        <v>89</v>
      </c>
      <c r="K13" s="24">
        <v>147600</v>
      </c>
      <c r="L13" s="25">
        <v>0.08</v>
      </c>
    </row>
    <row r="14" spans="1:12">
      <c r="I14" s="23" t="s">
        <v>76</v>
      </c>
      <c r="J14" s="23" t="s">
        <v>89</v>
      </c>
      <c r="K14" s="24">
        <v>166500</v>
      </c>
      <c r="L14" s="25">
        <v>0.08</v>
      </c>
    </row>
    <row r="15" spans="1:12">
      <c r="I15" s="23" t="s">
        <v>90</v>
      </c>
      <c r="J15" s="23" t="s">
        <v>91</v>
      </c>
      <c r="K15" s="24">
        <v>48100</v>
      </c>
      <c r="L15" s="25">
        <v>0.1</v>
      </c>
    </row>
    <row r="16" spans="1:12">
      <c r="I16" s="23" t="s">
        <v>84</v>
      </c>
      <c r="J16" s="23" t="s">
        <v>91</v>
      </c>
      <c r="K16" s="24">
        <v>59800</v>
      </c>
      <c r="L16" s="25">
        <v>0.1</v>
      </c>
    </row>
    <row r="17" spans="9:12">
      <c r="I17" s="23" t="s">
        <v>92</v>
      </c>
      <c r="J17" s="23" t="s">
        <v>93</v>
      </c>
      <c r="K17" s="24">
        <v>25800</v>
      </c>
      <c r="L17" s="25">
        <v>7.0000000000000007E-2</v>
      </c>
    </row>
    <row r="18" spans="9:12">
      <c r="I18" s="23" t="s">
        <v>94</v>
      </c>
      <c r="J18" s="23" t="s">
        <v>93</v>
      </c>
      <c r="K18" s="24">
        <v>28800</v>
      </c>
      <c r="L18" s="25">
        <v>7.0000000000000007E-2</v>
      </c>
    </row>
    <row r="19" spans="9:12">
      <c r="I19" s="23" t="s">
        <v>119</v>
      </c>
      <c r="J19" s="23" t="s">
        <v>95</v>
      </c>
      <c r="K19" s="24">
        <v>27800</v>
      </c>
      <c r="L19" s="25">
        <v>7.0000000000000007E-2</v>
      </c>
    </row>
    <row r="20" spans="9:12">
      <c r="I20" s="23" t="s">
        <v>96</v>
      </c>
      <c r="J20" s="23" t="s">
        <v>93</v>
      </c>
      <c r="K20" s="24">
        <v>28800</v>
      </c>
      <c r="L20" s="25">
        <v>7.0000000000000007E-2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4"/>
  <sheetViews>
    <sheetView topLeftCell="A4" workbookViewId="0">
      <selection activeCell="F7" sqref="F7"/>
    </sheetView>
  </sheetViews>
  <sheetFormatPr defaultRowHeight="13.5"/>
  <cols>
    <col min="4" max="4" width="16.5" customWidth="1"/>
    <col min="10" max="10" width="15.625" customWidth="1"/>
  </cols>
  <sheetData>
    <row r="1" spans="1:11" ht="17.25">
      <c r="A1" s="26" t="s">
        <v>97</v>
      </c>
    </row>
    <row r="2" spans="1:11">
      <c r="D2" s="27" t="s">
        <v>98</v>
      </c>
      <c r="E2" s="41">
        <f>DATE(2008,10,1)</f>
        <v>39722</v>
      </c>
      <c r="F2" s="41"/>
    </row>
    <row r="3" spans="1:11">
      <c r="A3" s="28">
        <f>YEAR(E2)</f>
        <v>2008</v>
      </c>
      <c r="B3" t="s">
        <v>99</v>
      </c>
    </row>
    <row r="4" spans="1:11">
      <c r="A4" s="29">
        <f>MONTH(E2)</f>
        <v>10</v>
      </c>
      <c r="B4" t="s">
        <v>100</v>
      </c>
    </row>
    <row r="6" spans="1:11">
      <c r="A6" s="30" t="s">
        <v>101</v>
      </c>
      <c r="B6" s="30" t="s">
        <v>102</v>
      </c>
      <c r="C6" s="30" t="s">
        <v>103</v>
      </c>
      <c r="D6" s="30" t="s">
        <v>104</v>
      </c>
      <c r="E6" s="30" t="s">
        <v>105</v>
      </c>
      <c r="F6" s="30" t="s">
        <v>106</v>
      </c>
      <c r="G6" s="30" t="s">
        <v>107</v>
      </c>
      <c r="H6" s="31"/>
      <c r="I6" s="30" t="s">
        <v>103</v>
      </c>
      <c r="J6" s="30" t="s">
        <v>104</v>
      </c>
      <c r="K6" s="30" t="s">
        <v>108</v>
      </c>
    </row>
    <row r="7" spans="1:11">
      <c r="A7" s="32">
        <v>101</v>
      </c>
      <c r="B7" s="32">
        <v>20802</v>
      </c>
      <c r="C7" s="32">
        <f>VALUE(LEFT(B7))</f>
        <v>2</v>
      </c>
      <c r="D7" s="32" t="str">
        <f t="shared" ref="D7:D14" si="0">VLOOKUP(C7,$I$7:$K$13,2)</f>
        <v>バリ島</v>
      </c>
      <c r="E7" s="33">
        <f>DATE($A$3,$A$4,MID(B7,2,2))</f>
        <v>39729</v>
      </c>
      <c r="F7" s="33">
        <f t="shared" ref="F7:F14" si="1">E7+VLOOKUP(C7,$I$7:$K$13,3)</f>
        <v>39734</v>
      </c>
      <c r="G7" s="34">
        <f>VALUE(RIGHT(B7,2))</f>
        <v>2</v>
      </c>
      <c r="I7" s="35">
        <v>1</v>
      </c>
      <c r="J7" s="36" t="s">
        <v>109</v>
      </c>
      <c r="K7" s="37">
        <v>4</v>
      </c>
    </row>
    <row r="8" spans="1:11">
      <c r="A8" s="32">
        <v>102</v>
      </c>
      <c r="B8" s="32">
        <v>71104</v>
      </c>
      <c r="C8" s="32">
        <f>VALUE(LEFT(B8))</f>
        <v>7</v>
      </c>
      <c r="D8" s="32" t="str">
        <f t="shared" si="0"/>
        <v>バンコク・プーケット</v>
      </c>
      <c r="E8" s="33">
        <f t="shared" ref="E8:E14" si="2">DATE($A$3,$A$4,MID(B8,2,2))</f>
        <v>39732</v>
      </c>
      <c r="F8" s="33">
        <f t="shared" si="1"/>
        <v>39740</v>
      </c>
      <c r="G8" s="34">
        <f t="shared" ref="G8:G14" si="3">VALUE(RIGHT(B8,2))</f>
        <v>4</v>
      </c>
      <c r="I8" s="35">
        <v>2</v>
      </c>
      <c r="J8" s="36" t="s">
        <v>110</v>
      </c>
      <c r="K8" s="37">
        <v>5</v>
      </c>
    </row>
    <row r="9" spans="1:11">
      <c r="A9" s="32">
        <v>103</v>
      </c>
      <c r="B9" s="32">
        <v>11210</v>
      </c>
      <c r="C9" s="32">
        <f t="shared" ref="C9:C14" si="4">VALUE(LEFT(B9))</f>
        <v>1</v>
      </c>
      <c r="D9" s="32" t="str">
        <f t="shared" si="0"/>
        <v>香港</v>
      </c>
      <c r="E9" s="33">
        <f t="shared" si="2"/>
        <v>39733</v>
      </c>
      <c r="F9" s="33">
        <f t="shared" si="1"/>
        <v>39737</v>
      </c>
      <c r="G9" s="34">
        <f t="shared" si="3"/>
        <v>10</v>
      </c>
      <c r="I9" s="35">
        <v>3</v>
      </c>
      <c r="J9" s="36" t="s">
        <v>111</v>
      </c>
      <c r="K9" s="37">
        <v>4</v>
      </c>
    </row>
    <row r="10" spans="1:11">
      <c r="A10" s="32">
        <v>104</v>
      </c>
      <c r="B10" s="32">
        <v>32012</v>
      </c>
      <c r="C10" s="32">
        <f t="shared" si="4"/>
        <v>3</v>
      </c>
      <c r="D10" s="32" t="str">
        <f t="shared" si="0"/>
        <v>ソウル</v>
      </c>
      <c r="E10" s="33">
        <f t="shared" si="2"/>
        <v>39741</v>
      </c>
      <c r="F10" s="33">
        <f t="shared" si="1"/>
        <v>39745</v>
      </c>
      <c r="G10" s="34">
        <f t="shared" si="3"/>
        <v>12</v>
      </c>
      <c r="I10" s="35">
        <v>4</v>
      </c>
      <c r="J10" s="36" t="s">
        <v>112</v>
      </c>
      <c r="K10" s="37">
        <v>6</v>
      </c>
    </row>
    <row r="11" spans="1:11">
      <c r="A11" s="32">
        <v>105</v>
      </c>
      <c r="B11" s="32">
        <v>61704</v>
      </c>
      <c r="C11" s="32">
        <f t="shared" si="4"/>
        <v>6</v>
      </c>
      <c r="D11" s="32" t="str">
        <f t="shared" si="0"/>
        <v>トルコ（パムッカレ）</v>
      </c>
      <c r="E11" s="33">
        <f t="shared" si="2"/>
        <v>39738</v>
      </c>
      <c r="F11" s="33">
        <f t="shared" si="1"/>
        <v>39743</v>
      </c>
      <c r="G11" s="34">
        <f t="shared" si="3"/>
        <v>4</v>
      </c>
      <c r="I11" s="35">
        <v>5</v>
      </c>
      <c r="J11" s="36" t="s">
        <v>113</v>
      </c>
      <c r="K11" s="37">
        <v>5</v>
      </c>
    </row>
    <row r="12" spans="1:11">
      <c r="A12" s="32">
        <v>106</v>
      </c>
      <c r="B12" s="32">
        <v>11204</v>
      </c>
      <c r="C12" s="32">
        <f t="shared" si="4"/>
        <v>1</v>
      </c>
      <c r="D12" s="32" t="str">
        <f t="shared" si="0"/>
        <v>香港</v>
      </c>
      <c r="E12" s="33">
        <f t="shared" si="2"/>
        <v>39733</v>
      </c>
      <c r="F12" s="33">
        <f t="shared" si="1"/>
        <v>39737</v>
      </c>
      <c r="G12" s="34">
        <f t="shared" si="3"/>
        <v>4</v>
      </c>
      <c r="I12" s="35">
        <v>6</v>
      </c>
      <c r="J12" s="36" t="s">
        <v>114</v>
      </c>
      <c r="K12" s="37">
        <v>5</v>
      </c>
    </row>
    <row r="13" spans="1:11">
      <c r="A13" s="32">
        <v>107</v>
      </c>
      <c r="B13" s="32">
        <v>61002</v>
      </c>
      <c r="C13" s="32">
        <f t="shared" si="4"/>
        <v>6</v>
      </c>
      <c r="D13" s="32" t="str">
        <f t="shared" si="0"/>
        <v>トルコ（パムッカレ）</v>
      </c>
      <c r="E13" s="33">
        <f t="shared" si="2"/>
        <v>39731</v>
      </c>
      <c r="F13" s="33">
        <f t="shared" si="1"/>
        <v>39736</v>
      </c>
      <c r="G13" s="34">
        <f t="shared" si="3"/>
        <v>2</v>
      </c>
      <c r="I13" s="35">
        <v>7</v>
      </c>
      <c r="J13" s="36" t="s">
        <v>115</v>
      </c>
      <c r="K13" s="37">
        <v>8</v>
      </c>
    </row>
    <row r="14" spans="1:11">
      <c r="A14" s="32">
        <v>108</v>
      </c>
      <c r="B14" s="32">
        <v>11503</v>
      </c>
      <c r="C14" s="32">
        <f t="shared" si="4"/>
        <v>1</v>
      </c>
      <c r="D14" s="32" t="str">
        <f t="shared" si="0"/>
        <v>香港</v>
      </c>
      <c r="E14" s="33">
        <f t="shared" si="2"/>
        <v>39736</v>
      </c>
      <c r="F14" s="33">
        <f t="shared" si="1"/>
        <v>39740</v>
      </c>
      <c r="G14" s="34">
        <f t="shared" si="3"/>
        <v>3</v>
      </c>
    </row>
  </sheetData>
  <mergeCells count="1">
    <mergeCell ref="E2:F2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C16" sqref="C16"/>
    </sheetView>
  </sheetViews>
  <sheetFormatPr defaultRowHeight="13.5"/>
  <sheetData>
    <row r="1" spans="1:6" ht="17.25">
      <c r="A1" s="42" t="s">
        <v>120</v>
      </c>
    </row>
    <row r="2" spans="1:6">
      <c r="A2" s="43"/>
      <c r="B2" s="43"/>
      <c r="C2" s="43"/>
      <c r="D2" s="43"/>
      <c r="E2" s="43"/>
      <c r="F2" s="44" t="s">
        <v>121</v>
      </c>
    </row>
    <row r="3" spans="1:6">
      <c r="A3" s="45" t="s">
        <v>99</v>
      </c>
      <c r="B3" s="45" t="s">
        <v>122</v>
      </c>
      <c r="C3" s="45" t="s">
        <v>123</v>
      </c>
      <c r="D3" s="45"/>
      <c r="E3" s="45"/>
      <c r="F3" s="45"/>
    </row>
    <row r="4" spans="1:6" ht="41.25" thickBot="1">
      <c r="A4" s="46"/>
      <c r="B4" s="46"/>
      <c r="C4" s="47" t="s">
        <v>124</v>
      </c>
      <c r="D4" s="47" t="s">
        <v>125</v>
      </c>
      <c r="E4" s="47" t="s">
        <v>126</v>
      </c>
      <c r="F4" s="47" t="s">
        <v>127</v>
      </c>
    </row>
    <row r="5" spans="1:6">
      <c r="A5" s="48" t="s">
        <v>128</v>
      </c>
      <c r="B5" s="49" t="s">
        <v>129</v>
      </c>
      <c r="C5" s="50">
        <v>1108</v>
      </c>
      <c r="D5" s="50">
        <v>51035</v>
      </c>
      <c r="E5" s="51">
        <v>8</v>
      </c>
      <c r="F5" s="50">
        <f>SUM(C5:E5)</f>
        <v>52151</v>
      </c>
    </row>
    <row r="6" spans="1:6">
      <c r="A6" s="52"/>
      <c r="B6" s="53" t="s">
        <v>130</v>
      </c>
      <c r="C6" s="54">
        <v>1044</v>
      </c>
      <c r="D6" s="54">
        <v>57870</v>
      </c>
      <c r="E6" s="55">
        <v>10</v>
      </c>
      <c r="F6" s="54">
        <f>SUM(C6:E6)</f>
        <v>58924</v>
      </c>
    </row>
    <row r="7" spans="1:6">
      <c r="A7" s="52"/>
      <c r="B7" s="53" t="s">
        <v>131</v>
      </c>
      <c r="C7" s="56">
        <v>2349</v>
      </c>
      <c r="D7" s="56">
        <v>72069</v>
      </c>
      <c r="E7" s="57">
        <v>31</v>
      </c>
      <c r="F7" s="54">
        <f>SUM(C7:E7)</f>
        <v>74449</v>
      </c>
    </row>
    <row r="8" spans="1:6">
      <c r="A8" s="52"/>
      <c r="B8" s="53" t="s">
        <v>132</v>
      </c>
      <c r="C8" s="54">
        <v>4962</v>
      </c>
      <c r="D8" s="54">
        <v>77402</v>
      </c>
      <c r="E8" s="55">
        <v>14</v>
      </c>
      <c r="F8" s="54">
        <f>SUM(C8:E8)</f>
        <v>82378</v>
      </c>
    </row>
    <row r="9" spans="1:6">
      <c r="A9" s="52"/>
      <c r="B9" s="53" t="s">
        <v>65</v>
      </c>
      <c r="C9" s="54">
        <f>SUM(C5:C8)</f>
        <v>9463</v>
      </c>
      <c r="D9" s="54">
        <f>SUM(D5:D8)</f>
        <v>258376</v>
      </c>
      <c r="E9" s="54">
        <f>SUM(E5:E8)</f>
        <v>63</v>
      </c>
      <c r="F9" s="54">
        <f>SUM(F5:F8)</f>
        <v>267902</v>
      </c>
    </row>
    <row r="10" spans="1:6">
      <c r="A10" s="58"/>
      <c r="B10" s="59" t="s">
        <v>133</v>
      </c>
      <c r="C10" s="60">
        <f>C9/$F$9</f>
        <v>3.5322617972243585E-2</v>
      </c>
      <c r="D10" s="60">
        <f>D9/$F$9</f>
        <v>0.96444222140932134</v>
      </c>
      <c r="E10" s="60">
        <f>E9/$F$9</f>
        <v>2.351606184350994E-4</v>
      </c>
      <c r="F10" s="60">
        <f>F9/$F$9</f>
        <v>1</v>
      </c>
    </row>
    <row r="11" spans="1:6">
      <c r="A11" s="61" t="s">
        <v>134</v>
      </c>
      <c r="B11" s="62" t="s">
        <v>129</v>
      </c>
      <c r="C11" s="63">
        <v>5916</v>
      </c>
      <c r="D11" s="63">
        <v>83031</v>
      </c>
      <c r="E11" s="64">
        <v>17</v>
      </c>
      <c r="F11" s="63">
        <f>SUM(C11:E11)</f>
        <v>88964</v>
      </c>
    </row>
    <row r="12" spans="1:6">
      <c r="A12" s="61"/>
      <c r="B12" s="62" t="s">
        <v>130</v>
      </c>
      <c r="C12" s="63">
        <v>5940</v>
      </c>
      <c r="D12" s="63">
        <v>84553</v>
      </c>
      <c r="E12" s="64">
        <v>0</v>
      </c>
      <c r="F12" s="63">
        <f>SUM(C12:E12)</f>
        <v>90493</v>
      </c>
    </row>
    <row r="13" spans="1:6">
      <c r="A13" s="61"/>
      <c r="B13" s="62" t="s">
        <v>131</v>
      </c>
      <c r="C13" s="63">
        <v>5732</v>
      </c>
      <c r="D13" s="63">
        <v>86205</v>
      </c>
      <c r="E13" s="64">
        <v>2</v>
      </c>
      <c r="F13" s="63">
        <f>SUM(C13:E13)</f>
        <v>91939</v>
      </c>
    </row>
    <row r="14" spans="1:6">
      <c r="A14" s="61"/>
      <c r="B14" s="62" t="s">
        <v>132</v>
      </c>
      <c r="C14" s="63">
        <v>6314</v>
      </c>
      <c r="D14" s="63">
        <v>90352</v>
      </c>
      <c r="E14" s="64">
        <v>0</v>
      </c>
      <c r="F14" s="63">
        <f>SUM(C14:E14)</f>
        <v>96666</v>
      </c>
    </row>
    <row r="15" spans="1:6">
      <c r="A15" s="61"/>
      <c r="B15" s="62" t="s">
        <v>65</v>
      </c>
      <c r="C15" s="63">
        <f>SUM(C11:C14)</f>
        <v>23902</v>
      </c>
      <c r="D15" s="63">
        <f>SUM(D11:D14)</f>
        <v>344141</v>
      </c>
      <c r="E15" s="63">
        <f>SUM(E11:E14)</f>
        <v>19</v>
      </c>
      <c r="F15" s="63">
        <f>SUM(F11:F14)</f>
        <v>368062</v>
      </c>
    </row>
    <row r="16" spans="1:6" ht="14.25" thickBot="1">
      <c r="A16" s="65"/>
      <c r="B16" s="66" t="s">
        <v>133</v>
      </c>
      <c r="C16" s="67">
        <f>C15/$F$15</f>
        <v>6.4940145953670855E-2</v>
      </c>
      <c r="D16" s="67">
        <f>D15/$F$15</f>
        <v>0.93500823230868713</v>
      </c>
      <c r="E16" s="67">
        <f>E15/$F$15</f>
        <v>5.16217376420277E-5</v>
      </c>
      <c r="F16" s="67">
        <f>F15/$F$15</f>
        <v>1</v>
      </c>
    </row>
    <row r="17" spans="1:6" ht="14.25" thickTop="1">
      <c r="A17" s="48" t="s">
        <v>135</v>
      </c>
      <c r="B17" s="49" t="s">
        <v>129</v>
      </c>
      <c r="C17" s="50">
        <v>7380</v>
      </c>
      <c r="D17" s="50">
        <v>106911</v>
      </c>
      <c r="E17" s="51">
        <v>0</v>
      </c>
      <c r="F17" s="50">
        <f>SUM(C17:E17)</f>
        <v>114291</v>
      </c>
    </row>
    <row r="18" spans="1:6">
      <c r="A18" s="52"/>
      <c r="B18" s="53" t="s">
        <v>130</v>
      </c>
      <c r="C18" s="54">
        <v>6794</v>
      </c>
      <c r="D18" s="54">
        <v>104812</v>
      </c>
      <c r="E18" s="55">
        <v>9</v>
      </c>
      <c r="F18" s="54">
        <f>SUM(C18:E18)</f>
        <v>111615</v>
      </c>
    </row>
    <row r="19" spans="1:6">
      <c r="A19" s="52"/>
      <c r="B19" s="53" t="s">
        <v>131</v>
      </c>
      <c r="C19" s="54">
        <v>8128</v>
      </c>
      <c r="D19" s="54">
        <v>113466</v>
      </c>
      <c r="E19" s="55">
        <v>7</v>
      </c>
      <c r="F19" s="54">
        <f>SUM(C19:E19)</f>
        <v>121601</v>
      </c>
    </row>
    <row r="20" spans="1:6">
      <c r="A20" s="52"/>
      <c r="B20" s="53" t="s">
        <v>132</v>
      </c>
      <c r="C20" s="54">
        <v>8681</v>
      </c>
      <c r="D20" s="54">
        <v>108807</v>
      </c>
      <c r="E20" s="55">
        <v>0</v>
      </c>
      <c r="F20" s="54">
        <f>SUM(C20:E20)</f>
        <v>117488</v>
      </c>
    </row>
    <row r="21" spans="1:6">
      <c r="A21" s="52"/>
      <c r="B21" s="53" t="s">
        <v>65</v>
      </c>
      <c r="C21" s="54">
        <f>SUM(C17:C20)</f>
        <v>30983</v>
      </c>
      <c r="D21" s="54">
        <f>SUM(D17:D20)</f>
        <v>433996</v>
      </c>
      <c r="E21" s="54">
        <f>SUM(E17:E20)</f>
        <v>16</v>
      </c>
      <c r="F21" s="54">
        <f>SUM(F17:F20)</f>
        <v>464995</v>
      </c>
    </row>
    <row r="22" spans="1:6">
      <c r="A22" s="52"/>
      <c r="B22" s="68" t="s">
        <v>133</v>
      </c>
      <c r="C22" s="69">
        <f>C21/$F$21</f>
        <v>6.6630823987354704E-2</v>
      </c>
      <c r="D22" s="69">
        <f>D21/$F$21</f>
        <v>0.93333476704050577</v>
      </c>
      <c r="E22" s="69">
        <f>E21/$F$21</f>
        <v>3.4408972139485373E-5</v>
      </c>
      <c r="F22" s="69">
        <f>F21/$F$21</f>
        <v>1</v>
      </c>
    </row>
    <row r="23" spans="1:6">
      <c r="A23" s="70" t="s">
        <v>136</v>
      </c>
      <c r="B23" s="71"/>
      <c r="C23" s="72">
        <f>AVERAGE(C5:C8,C11:C14,C17:C20)</f>
        <v>5362.333333333333</v>
      </c>
      <c r="D23" s="72">
        <f t="shared" ref="D23:E23" si="0">AVERAGE(D5:D8,D11:D14,D17:D20)</f>
        <v>86376.083333333328</v>
      </c>
      <c r="E23" s="72">
        <f t="shared" si="0"/>
        <v>8.1666666666666661</v>
      </c>
      <c r="F23" s="72">
        <f>AVERAGE(F5:F8,F11:F14,F17:F20)</f>
        <v>91746.583333333328</v>
      </c>
    </row>
    <row r="24" spans="1:6">
      <c r="A24" s="70" t="s">
        <v>137</v>
      </c>
      <c r="B24" s="71"/>
      <c r="C24" s="72">
        <f>MAX(C5:C8,C11:C14,C17:C20)</f>
        <v>8681</v>
      </c>
      <c r="D24" s="72">
        <f t="shared" ref="D24:F24" si="1">MAX(D5:D8,D11:D14,D17:D20)</f>
        <v>113466</v>
      </c>
      <c r="E24" s="72">
        <f t="shared" si="1"/>
        <v>31</v>
      </c>
      <c r="F24" s="72">
        <f t="shared" si="1"/>
        <v>121601</v>
      </c>
    </row>
    <row r="25" spans="1:6">
      <c r="A25" s="70" t="s">
        <v>138</v>
      </c>
      <c r="B25" s="71"/>
      <c r="C25" s="72">
        <f>MIN(C5:C8,C11:C14,C17:C20)</f>
        <v>1044</v>
      </c>
      <c r="D25" s="72">
        <f t="shared" ref="D25:F25" si="2">MIN(D5:D8,D11:D14,D17:D20)</f>
        <v>51035</v>
      </c>
      <c r="E25" s="72">
        <f t="shared" si="2"/>
        <v>0</v>
      </c>
      <c r="F25" s="72">
        <f t="shared" si="2"/>
        <v>52151</v>
      </c>
    </row>
  </sheetData>
  <mergeCells count="9">
    <mergeCell ref="A23:B23"/>
    <mergeCell ref="A24:B24"/>
    <mergeCell ref="A25:B25"/>
    <mergeCell ref="A3:A4"/>
    <mergeCell ref="B3:B4"/>
    <mergeCell ref="C3:F3"/>
    <mergeCell ref="A5:A10"/>
    <mergeCell ref="A11:A16"/>
    <mergeCell ref="A17:A22"/>
  </mergeCells>
  <phoneticPr fontId="1"/>
  <conditionalFormatting sqref="F5:F8 F11:F14 F17:F20">
    <cfRule type="aboveAverage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例題１１</vt:lpstr>
      <vt:lpstr>例題１２</vt:lpstr>
      <vt:lpstr>例題１３</vt:lpstr>
      <vt:lpstr>例題１４</vt:lpstr>
      <vt:lpstr>例題１５</vt:lpstr>
      <vt:lpstr>例題１６</vt:lpstr>
      <vt:lpstr>実習１６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m2111139</dc:creator>
  <cp:lastModifiedBy>m2111139</cp:lastModifiedBy>
  <dcterms:created xsi:type="dcterms:W3CDTF">2011-10-03T00:13:58Z</dcterms:created>
  <dcterms:modified xsi:type="dcterms:W3CDTF">2011-10-17T01:14:47Z</dcterms:modified>
</cp:coreProperties>
</file>